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ldo.javier\Desktop\INFORME FINANCIEROS LIBRE ACCESO 2023\Informes en exel para publicar\"/>
    </mc:Choice>
  </mc:AlternateContent>
  <xr:revisionPtr revIDLastSave="0" documentId="13_ncr:1_{0BC4562E-667F-41B5-B66B-D28DEFE4FE22}" xr6:coauthVersionLast="47" xr6:coauthVersionMax="47" xr10:uidLastSave="{00000000-0000-0000-0000-000000000000}"/>
  <bookViews>
    <workbookView xWindow="-120" yWindow="-120" windowWidth="20730" windowHeight="11040" xr2:uid="{3A751932-E111-4C41-A1CD-5C41A47F03C2}"/>
  </bookViews>
  <sheets>
    <sheet name=" ERF-Rendimiento Financiero" sheetId="5" r:id="rId1"/>
    <sheet name="ECANP-Cambio Patrimonio" sheetId="4" r:id="rId2"/>
    <sheet name="EFE-Flujo de Efectivo" sheetId="3" r:id="rId3"/>
    <sheet name="ESF - Situación Financiera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 ERF-Rendimiento Financiero'!$A$5:$K$37</definedName>
    <definedName name="_xlnm._FilterDatabase" localSheetId="1" hidden="1">'ECANP-Cambio Patrimonio'!$C$7:$I$23</definedName>
    <definedName name="_xlnm._FilterDatabase" localSheetId="2" hidden="1">'EFE-Flujo de Efectivo'!$A$5:$H$66</definedName>
    <definedName name="_xlnm._FilterDatabase" localSheetId="3" hidden="1">'ESF - Situación Financiera'!$B$19:$N$75</definedName>
    <definedName name="_xlnm.Print_Area" localSheetId="0">' ERF-Rendimiento Financiero'!$C$1:$H$49</definedName>
    <definedName name="_xlnm.Print_Area" localSheetId="1">'ECANP-Cambio Patrimonio'!$A$1:$I$31</definedName>
    <definedName name="_xlnm.Print_Area" localSheetId="2">'EFE-Flujo de Efectivo'!$A$1:$J$73</definedName>
    <definedName name="_xlnm.Print_Area" localSheetId="3">'ESF - Situación Financiera'!$B$2:$G$80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5" l="1"/>
  <c r="K34" i="5" s="1"/>
  <c r="F34" i="5"/>
  <c r="K33" i="5"/>
  <c r="K32" i="5"/>
  <c r="K31" i="5"/>
  <c r="K27" i="5"/>
  <c r="K26" i="5"/>
  <c r="K25" i="5"/>
  <c r="K24" i="5"/>
  <c r="H22" i="5"/>
  <c r="K22" i="5" s="1"/>
  <c r="F22" i="5"/>
  <c r="H21" i="5"/>
  <c r="F21" i="5"/>
  <c r="K21" i="5" s="1"/>
  <c r="H20" i="5"/>
  <c r="K20" i="5" s="1"/>
  <c r="H19" i="5"/>
  <c r="K19" i="5" s="1"/>
  <c r="F19" i="5"/>
  <c r="F18" i="5"/>
  <c r="H17" i="5"/>
  <c r="K17" i="5" s="1"/>
  <c r="F17" i="5"/>
  <c r="H16" i="5"/>
  <c r="F16" i="5"/>
  <c r="F23" i="5" s="1"/>
  <c r="H15" i="5"/>
  <c r="H23" i="5" s="1"/>
  <c r="F15" i="5"/>
  <c r="K15" i="5" s="1"/>
  <c r="H11" i="5"/>
  <c r="K11" i="5" s="1"/>
  <c r="F11" i="5"/>
  <c r="F10" i="5"/>
  <c r="H9" i="5"/>
  <c r="K9" i="5" s="1"/>
  <c r="F9" i="5"/>
  <c r="H8" i="5"/>
  <c r="F8" i="5"/>
  <c r="F12" i="5" s="1"/>
  <c r="H7" i="5"/>
  <c r="H12" i="5" s="1"/>
  <c r="F7" i="5"/>
  <c r="K7" i="5" s="1"/>
  <c r="H5" i="5"/>
  <c r="C3" i="5"/>
  <c r="C1" i="5"/>
  <c r="G20" i="4"/>
  <c r="H19" i="4"/>
  <c r="G19" i="4"/>
  <c r="I18" i="4"/>
  <c r="H17" i="4"/>
  <c r="H16" i="4"/>
  <c r="H15" i="4"/>
  <c r="H13" i="4"/>
  <c r="H20" i="4" s="1"/>
  <c r="G13" i="4"/>
  <c r="F13" i="4"/>
  <c r="F20" i="4" s="1"/>
  <c r="E13" i="4"/>
  <c r="E20" i="4" s="1"/>
  <c r="D13" i="4"/>
  <c r="D14" i="4" s="1"/>
  <c r="H12" i="4"/>
  <c r="H9" i="4"/>
  <c r="H62" i="3"/>
  <c r="D61" i="3"/>
  <c r="L59" i="3"/>
  <c r="K59" i="3"/>
  <c r="J59" i="3"/>
  <c r="I59" i="3"/>
  <c r="G59" i="3"/>
  <c r="F59" i="3"/>
  <c r="E59" i="3"/>
  <c r="C59" i="3"/>
  <c r="H58" i="3"/>
  <c r="H57" i="3"/>
  <c r="H55" i="3"/>
  <c r="M53" i="3"/>
  <c r="O53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C36" i="3"/>
  <c r="C44" i="3" s="1"/>
  <c r="H34" i="3"/>
  <c r="H33" i="3"/>
  <c r="H32" i="3"/>
  <c r="H31" i="3"/>
  <c r="H44" i="3" s="1"/>
  <c r="H30" i="3"/>
  <c r="H29" i="3"/>
  <c r="L26" i="3"/>
  <c r="K26" i="3"/>
  <c r="K61" i="3" s="1"/>
  <c r="K63" i="3" s="1"/>
  <c r="J26" i="3"/>
  <c r="J61" i="3" s="1"/>
  <c r="J63" i="3" s="1"/>
  <c r="M66" i="3" s="1"/>
  <c r="G26" i="3"/>
  <c r="G61" i="3" s="1"/>
  <c r="F26" i="3"/>
  <c r="F61" i="3" s="1"/>
  <c r="H23" i="3"/>
  <c r="H22" i="3"/>
  <c r="H21" i="3"/>
  <c r="H20" i="3"/>
  <c r="C20" i="3"/>
  <c r="M20" i="3" s="1"/>
  <c r="H19" i="3"/>
  <c r="C19" i="3"/>
  <c r="M18" i="3"/>
  <c r="H18" i="3"/>
  <c r="C18" i="3"/>
  <c r="H17" i="3"/>
  <c r="C17" i="3"/>
  <c r="M17" i="3" s="1"/>
  <c r="H16" i="3"/>
  <c r="C16" i="3"/>
  <c r="M14" i="3"/>
  <c r="E14" i="3"/>
  <c r="C14" i="3"/>
  <c r="H14" i="3" s="1"/>
  <c r="H13" i="3"/>
  <c r="H12" i="3"/>
  <c r="H11" i="3"/>
  <c r="O10" i="3"/>
  <c r="I10" i="3"/>
  <c r="H10" i="3"/>
  <c r="E10" i="3"/>
  <c r="C10" i="3"/>
  <c r="M10" i="3" s="1"/>
  <c r="I9" i="3"/>
  <c r="I26" i="3" s="1"/>
  <c r="I61" i="3" s="1"/>
  <c r="I63" i="3" s="1"/>
  <c r="H9" i="3"/>
  <c r="E9" i="3"/>
  <c r="E26" i="3" s="1"/>
  <c r="E61" i="3" s="1"/>
  <c r="E63" i="3" s="1"/>
  <c r="C9" i="3"/>
  <c r="C26" i="3" s="1"/>
  <c r="C61" i="3" s="1"/>
  <c r="H8" i="3"/>
  <c r="H7" i="3"/>
  <c r="E5" i="3"/>
  <c r="A3" i="3"/>
  <c r="A1" i="3"/>
  <c r="J73" i="2"/>
  <c r="J71" i="2"/>
  <c r="I70" i="2"/>
  <c r="L69" i="2"/>
  <c r="F69" i="2"/>
  <c r="J69" i="2" s="1"/>
  <c r="C69" i="2"/>
  <c r="L68" i="2"/>
  <c r="F68" i="2"/>
  <c r="J68" i="2" s="1"/>
  <c r="C68" i="2"/>
  <c r="C70" i="2" s="1"/>
  <c r="L67" i="2"/>
  <c r="F67" i="2"/>
  <c r="J67" i="2" s="1"/>
  <c r="J66" i="2"/>
  <c r="J65" i="2"/>
  <c r="L63" i="2"/>
  <c r="J63" i="2"/>
  <c r="L62" i="2"/>
  <c r="H62" i="2"/>
  <c r="F62" i="2"/>
  <c r="H61" i="2"/>
  <c r="F61" i="2"/>
  <c r="L61" i="2" s="1"/>
  <c r="H60" i="2"/>
  <c r="F60" i="2"/>
  <c r="L60" i="2" s="1"/>
  <c r="H59" i="2"/>
  <c r="L59" i="2" s="1"/>
  <c r="F59" i="2"/>
  <c r="L58" i="2"/>
  <c r="H58" i="2"/>
  <c r="F58" i="2"/>
  <c r="H57" i="2"/>
  <c r="F57" i="2"/>
  <c r="L57" i="2" s="1"/>
  <c r="L56" i="2"/>
  <c r="I56" i="2"/>
  <c r="J56" i="2" s="1"/>
  <c r="C56" i="2"/>
  <c r="J55" i="2"/>
  <c r="I54" i="2"/>
  <c r="I64" i="2" s="1"/>
  <c r="I72" i="2" s="1"/>
  <c r="C54" i="2"/>
  <c r="C64" i="2" s="1"/>
  <c r="L53" i="2"/>
  <c r="J53" i="2"/>
  <c r="L52" i="2"/>
  <c r="F52" i="2"/>
  <c r="L51" i="2"/>
  <c r="H51" i="2"/>
  <c r="F51" i="2"/>
  <c r="H50" i="2"/>
  <c r="F50" i="2"/>
  <c r="L50" i="2" s="1"/>
  <c r="F49" i="2"/>
  <c r="L49" i="2" s="1"/>
  <c r="F48" i="2"/>
  <c r="L48" i="2" s="1"/>
  <c r="F47" i="2"/>
  <c r="L47" i="2" s="1"/>
  <c r="F46" i="2"/>
  <c r="L46" i="2" s="1"/>
  <c r="L45" i="2"/>
  <c r="J44" i="2"/>
  <c r="J43" i="2"/>
  <c r="J42" i="2"/>
  <c r="J40" i="2"/>
  <c r="I39" i="2"/>
  <c r="I41" i="2" s="1"/>
  <c r="F39" i="2"/>
  <c r="L39" i="2" s="1"/>
  <c r="H38" i="2"/>
  <c r="F38" i="2"/>
  <c r="L38" i="2" s="1"/>
  <c r="H37" i="2"/>
  <c r="F37" i="2"/>
  <c r="L37" i="2" s="1"/>
  <c r="L36" i="2"/>
  <c r="F36" i="2"/>
  <c r="J36" i="2" s="1"/>
  <c r="C36" i="2"/>
  <c r="C39" i="2" s="1"/>
  <c r="C41" i="2" s="1"/>
  <c r="L35" i="2"/>
  <c r="H35" i="2"/>
  <c r="F35" i="2"/>
  <c r="H34" i="2"/>
  <c r="L34" i="2" s="1"/>
  <c r="F34" i="2"/>
  <c r="H33" i="2"/>
  <c r="F33" i="2"/>
  <c r="L33" i="2" s="1"/>
  <c r="H32" i="2"/>
  <c r="F32" i="2"/>
  <c r="L32" i="2" s="1"/>
  <c r="J31" i="2"/>
  <c r="J30" i="2"/>
  <c r="I29" i="2"/>
  <c r="C29" i="2"/>
  <c r="H28" i="2"/>
  <c r="L28" i="2" s="1"/>
  <c r="F28" i="2"/>
  <c r="M27" i="2"/>
  <c r="H27" i="2"/>
  <c r="L27" i="2" s="1"/>
  <c r="F27" i="2"/>
  <c r="F26" i="2"/>
  <c r="L26" i="2" s="1"/>
  <c r="H25" i="2"/>
  <c r="L25" i="2" s="1"/>
  <c r="H24" i="2"/>
  <c r="L24" i="2" s="1"/>
  <c r="F24" i="2"/>
  <c r="H23" i="2"/>
  <c r="F23" i="2"/>
  <c r="L23" i="2" s="1"/>
  <c r="J22" i="2"/>
  <c r="F22" i="2"/>
  <c r="F29" i="2" s="1"/>
  <c r="H19" i="2"/>
  <c r="F29" i="5" l="1"/>
  <c r="K29" i="5" s="1"/>
  <c r="K12" i="5"/>
  <c r="K23" i="5"/>
  <c r="H29" i="5"/>
  <c r="K8" i="5"/>
  <c r="K16" i="5"/>
  <c r="H14" i="4"/>
  <c r="D20" i="4"/>
  <c r="C63" i="3"/>
  <c r="H61" i="3"/>
  <c r="O13" i="3"/>
  <c r="O14" i="3" s="1"/>
  <c r="H26" i="3"/>
  <c r="H54" i="3"/>
  <c r="G63" i="3"/>
  <c r="H56" i="3" s="1"/>
  <c r="H59" i="3" s="1"/>
  <c r="O56" i="3"/>
  <c r="O48" i="3"/>
  <c r="M9" i="3"/>
  <c r="H36" i="3"/>
  <c r="L29" i="2"/>
  <c r="J29" i="2"/>
  <c r="C72" i="2"/>
  <c r="J26" i="2"/>
  <c r="J49" i="2"/>
  <c r="J39" i="2"/>
  <c r="F41" i="2"/>
  <c r="F54" i="2"/>
  <c r="F70" i="2"/>
  <c r="L22" i="2"/>
  <c r="I67" i="3" l="1"/>
  <c r="H63" i="3"/>
  <c r="L70" i="2"/>
  <c r="J70" i="2"/>
  <c r="J54" i="2"/>
  <c r="L54" i="2"/>
  <c r="F64" i="2"/>
  <c r="J41" i="2"/>
  <c r="L41" i="2"/>
  <c r="L64" i="2" l="1"/>
  <c r="J64" i="2"/>
  <c r="F72" i="2"/>
  <c r="J72" i="2" l="1"/>
  <c r="N7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tc={6CEF82DA-E3F0-462F-8A7F-86A7F423564B}</author>
  </authors>
  <commentList>
    <comment ref="J19" authorId="0" shapeId="0" xr:uid="{6CEF82DA-E3F0-462F-8A7F-86A7F42356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<sst xmlns="http://schemas.openxmlformats.org/spreadsheetml/2006/main" count="221" uniqueCount="197">
  <si>
    <t>Balance General</t>
  </si>
  <si>
    <t>Correspondiente al 30 del mes septiembre del año 2023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</si>
  <si>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</si>
  <si>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</si>
  <si>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</si>
  <si>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</si>
  <si>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</si>
  <si>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</si>
  <si>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</si>
  <si>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</si>
  <si>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</si>
  <si>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</si>
  <si>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</si>
  <si>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</si>
  <si>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</si>
  <si>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</si>
  <si>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</si>
  <si>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</si>
  <si>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</si>
  <si>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</si>
  <si>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</si>
  <si>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</si>
  <si>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</si>
  <si>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</si>
  <si>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</si>
  <si>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</si>
  <si>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</si>
  <si>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</si>
  <si>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</si>
  <si>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</si>
  <si>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</si>
  <si>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</si>
  <si>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</si>
  <si>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</si>
  <si>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</si>
  <si>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</si>
  <si>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</si>
  <si>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</si>
  <si>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</si>
  <si>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</si>
  <si>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</si>
  <si>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</si>
  <si>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</si>
  <si>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0015</t>
  </si>
  <si>
    <t xml:space="preserve">Sobregiro bancario 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</si>
  <si>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</si>
  <si>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</si>
  <si>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</si>
  <si>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</si>
  <si>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</si>
  <si>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</si>
  <si>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</si>
  <si>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</si>
  <si>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</si>
  <si>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</si>
  <si>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</si>
  <si>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</si>
  <si>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</si>
  <si>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</si>
  <si>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</si>
  <si>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</si>
  <si>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</si>
  <si>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</si>
  <si>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</si>
  <si>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</si>
  <si>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</si>
  <si>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</si>
  <si>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</si>
  <si>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</si>
  <si>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</si>
  <si>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</si>
  <si>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</si>
  <si>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</si>
  <si>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</si>
  <si>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</si>
  <si>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</si>
  <si>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</si>
  <si>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</si>
  <si>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</si>
  <si>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</si>
  <si>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</si>
  <si>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0032</t>
  </si>
  <si>
    <t xml:space="preserve">Resultados acumulados </t>
  </si>
  <si>
    <t>0033</t>
  </si>
  <si>
    <t>Resultados positivos (ahorro) / negativo (desahorro)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</si>
  <si>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</si>
  <si>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</si>
  <si>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</si>
  <si>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</si>
  <si>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</si>
  <si>
    <t>Correspondiente al 30 de septiembre del 2023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</si>
  <si>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</si>
  <si>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</si>
  <si>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</si>
  <si>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</si>
  <si>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</si>
  <si>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</si>
  <si>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</si>
  <si>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</si>
  <si>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</si>
  <si>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</si>
  <si>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</si>
  <si>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</si>
  <si>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</si>
  <si>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</si>
  <si>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</si>
  <si>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</si>
  <si>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</si>
  <si>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</si>
  <si>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</si>
  <si>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</si>
  <si>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</si>
  <si>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</si>
  <si>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</si>
  <si>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</si>
  <si>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</si>
  <si>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</si>
  <si>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</si>
  <si>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</si>
  <si>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</si>
  <si>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</si>
  <si>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</si>
  <si>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</si>
  <si>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</si>
  <si>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</si>
  <si>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</si>
  <si>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</si>
  <si>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</si>
  <si>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</si>
  <si>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</si>
  <si>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</si>
  <si>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</si>
  <si>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</si>
  <si>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</si>
  <si>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</si>
  <si>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</si>
  <si>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</si>
  <si>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</si>
  <si>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</si>
  <si>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Las notas en las páginas 7 a 14 son parte integral de estos Estados Financieros.</t>
  </si>
  <si>
    <t>13299182.04.</t>
  </si>
  <si>
    <t>Firma del Director Ejecutivo.</t>
  </si>
  <si>
    <t>Estado de Cambio de Activo / Patrimonio</t>
  </si>
  <si>
    <t>Correspondiente al 30 del mes de septiembre del año 2023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</si>
  <si>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</si>
  <si>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</si>
  <si>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</si>
  <si>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</si>
  <si>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</si>
  <si>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2021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</si>
  <si>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</si>
  <si>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</si>
  <si>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</si>
  <si>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</si>
  <si>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31 de diciembre de 2022</t>
  </si>
  <si>
    <t>Efecto del gasto de depreciación de los activos revaluados</t>
  </si>
  <si>
    <t>Saldo al 30 de septiembre del 2023</t>
  </si>
  <si>
    <t>Las notas en las páginas 7 a la 14 son  parte integral de estos Estados Financieros.</t>
  </si>
  <si>
    <t>Firma del Financiero.</t>
  </si>
  <si>
    <t>Firma del Contador.</t>
  </si>
  <si>
    <t>Correspondiente al 30 del mes de Septiembre del año 2023</t>
  </si>
  <si>
    <t>Ingresos</t>
  </si>
  <si>
    <t>0035</t>
  </si>
  <si>
    <t xml:space="preserve">Impuestos </t>
  </si>
  <si>
    <t>0036</t>
  </si>
  <si>
    <t xml:space="preserve">Ingresos por transacciones con contraprestación </t>
  </si>
  <si>
    <t>0037</t>
  </si>
  <si>
    <t>Transferencias</t>
  </si>
  <si>
    <t>Otros Ingresos</t>
  </si>
  <si>
    <t>0038</t>
  </si>
  <si>
    <t>Ingresos extrapresupuestarios</t>
  </si>
  <si>
    <t>Total ingresos</t>
  </si>
  <si>
    <t xml:space="preserve">Gastos </t>
  </si>
  <si>
    <t>0039</t>
  </si>
  <si>
    <t>Sueldos, salarios y beneficios a empleados</t>
  </si>
  <si>
    <t>0040</t>
  </si>
  <si>
    <t>Gastos Fijos (Servicios)</t>
  </si>
  <si>
    <t>0041</t>
  </si>
  <si>
    <t>Suministros y materiales para consumo</t>
  </si>
  <si>
    <t>Transferencias Corrientes</t>
  </si>
  <si>
    <t>0042</t>
  </si>
  <si>
    <t>Gasto de depreciación y amortización</t>
  </si>
  <si>
    <t>0043</t>
  </si>
  <si>
    <t>Deterioro del valor de propiedad, planta y equipo</t>
  </si>
  <si>
    <t>0044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</si>
  <si>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</si>
  <si>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</si>
  <si>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</si>
  <si>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</si>
  <si>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</si>
  <si>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</si>
  <si>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</si>
  <si>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</si>
  <si>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0048</t>
  </si>
  <si>
    <t>Propietarios de la entidad controladora</t>
  </si>
  <si>
    <t>0049</t>
  </si>
  <si>
    <t xml:space="preserve">Intereses minoritarios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</si>
</sst>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8" formatCode="_(* #,##0.00_);_(* \(#,##0.00\);_(* &quot;-&quot;_);_(@_)"/>
    <numFmt numFmtId="169" formatCode="#,##0.0"/>
    <numFmt numFmtId="170" formatCode="_(* #,##0_);_(* \(#,##0\);_(* &quot;-&quot;??_);_(@_)"/>
    <numFmt numFmtId="171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 val="singleAccounting"/>
      <sz val="14"/>
      <color theme="1"/>
      <name val="Times New Roman"/>
      <family val="1"/>
    </font>
    <font>
      <sz val="9"/>
      <color indexed="81"/>
      <name val="Tahoma"/>
      <charset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54">
    <xf numFmtId="0" fontId="0" fillId="0" borderId="0" xfId="0"/>
    <xf numFmtId="43" fontId="0" fillId="0" borderId="0" xfId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6" fillId="0" borderId="2" xfId="0" applyNumberFormat="1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3" xfId="0" applyNumberFormat="1" applyFont="1" applyBorder="1" applyAlignment="1">
      <alignment vertical="center"/>
    </xf>
    <xf numFmtId="0" fontId="9" fillId="0" borderId="0" xfId="0" applyFont="1"/>
    <xf numFmtId="41" fontId="2" fillId="0" borderId="2" xfId="0" applyNumberFormat="1" applyFont="1" applyBorder="1"/>
    <xf numFmtId="0" fontId="3" fillId="0" borderId="0" xfId="0" applyFont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6" fillId="0" borderId="2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2" xfId="0" applyNumberFormat="1" applyFont="1" applyFill="1" applyBorder="1"/>
    <xf numFmtId="0" fontId="10" fillId="0" borderId="0" xfId="0" applyFont="1" applyAlignment="1">
      <alignment horizontal="left" vertical="center" indent="5"/>
    </xf>
    <xf numFmtId="168" fontId="3" fillId="0" borderId="2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169" fontId="2" fillId="0" borderId="0" xfId="0" applyNumberFormat="1" applyFont="1" applyAlignment="1">
      <alignment vertical="center"/>
    </xf>
    <xf numFmtId="43" fontId="6" fillId="0" borderId="0" xfId="0" applyNumberFormat="1" applyFont="1"/>
    <xf numFmtId="170" fontId="2" fillId="0" borderId="0" xfId="0" applyNumberFormat="1" applyFont="1"/>
    <xf numFmtId="41" fontId="6" fillId="0" borderId="0" xfId="0" applyNumberFormat="1" applyFont="1"/>
    <xf numFmtId="43" fontId="0" fillId="0" borderId="0" xfId="0" applyNumberFormat="1" applyAlignment="1">
      <alignment vertical="center"/>
    </xf>
    <xf numFmtId="170" fontId="2" fillId="0" borderId="2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2" xfId="0" applyNumberFormat="1" applyFont="1" applyBorder="1"/>
    <xf numFmtId="43" fontId="2" fillId="0" borderId="0" xfId="0" applyNumberFormat="1" applyFont="1"/>
    <xf numFmtId="0" fontId="3" fillId="0" borderId="0" xfId="0" applyFont="1"/>
    <xf numFmtId="4" fontId="2" fillId="0" borderId="2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1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1" fontId="13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17" fontId="2" fillId="0" borderId="5" xfId="0" applyNumberFormat="1" applyFont="1" applyBorder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1" fontId="13" fillId="0" borderId="0" xfId="0" applyNumberFormat="1" applyFont="1"/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41" fontId="4" fillId="0" borderId="0" xfId="0" applyNumberFormat="1" applyFont="1"/>
    <xf numFmtId="0" fontId="13" fillId="0" borderId="0" xfId="0" applyFont="1"/>
    <xf numFmtId="43" fontId="13" fillId="0" borderId="0" xfId="0" applyNumberFormat="1" applyFont="1" applyAlignment="1">
      <alignment vertical="center"/>
    </xf>
    <xf numFmtId="43" fontId="0" fillId="0" borderId="0" xfId="0" applyNumberFormat="1"/>
    <xf numFmtId="3" fontId="4" fillId="0" borderId="0" xfId="0" applyNumberFormat="1" applyFont="1" applyAlignment="1">
      <alignment vertical="center"/>
    </xf>
    <xf numFmtId="3" fontId="2" fillId="0" borderId="0" xfId="0" applyNumberFormat="1" applyFont="1"/>
    <xf numFmtId="3" fontId="13" fillId="0" borderId="0" xfId="0" applyNumberFormat="1" applyFont="1"/>
    <xf numFmtId="3" fontId="4" fillId="0" borderId="0" xfId="0" applyNumberFormat="1" applyFont="1"/>
    <xf numFmtId="0" fontId="13" fillId="0" borderId="0" xfId="0" applyFont="1" applyAlignment="1">
      <alignment wrapText="1"/>
    </xf>
    <xf numFmtId="41" fontId="4" fillId="0" borderId="0" xfId="0" applyNumberFormat="1" applyFon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71" fontId="2" fillId="0" borderId="0" xfId="0" applyNumberFormat="1" applyFont="1" applyAlignment="1">
      <alignment vertical="center"/>
    </xf>
    <xf numFmtId="0" fontId="13" fillId="0" borderId="0" xfId="0" applyFont="1" applyAlignment="1">
      <alignment horizontal="justify" vertical="center"/>
    </xf>
    <xf numFmtId="41" fontId="4" fillId="0" borderId="0" xfId="0" applyNumberFormat="1" applyFont="1" applyAlignment="1">
      <alignment horizontal="justify" vertical="center"/>
    </xf>
    <xf numFmtId="43" fontId="4" fillId="0" borderId="0" xfId="0" applyNumberFormat="1" applyFont="1" applyAlignment="1">
      <alignment vertical="center"/>
    </xf>
    <xf numFmtId="41" fontId="13" fillId="3" borderId="0" xfId="0" applyNumberFormat="1" applyFont="1" applyFill="1"/>
    <xf numFmtId="41" fontId="4" fillId="3" borderId="0" xfId="0" applyNumberFormat="1" applyFont="1" applyFill="1"/>
    <xf numFmtId="43" fontId="18" fillId="0" borderId="0" xfId="2" applyFont="1" applyFill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41" fontId="19" fillId="0" borderId="0" xfId="0" applyNumberFormat="1" applyFont="1"/>
    <xf numFmtId="0" fontId="16" fillId="0" borderId="0" xfId="0" applyFont="1" applyAlignment="1">
      <alignment horizontal="left" vertical="center" indent="5"/>
    </xf>
    <xf numFmtId="0" fontId="4" fillId="0" borderId="0" xfId="0" applyFont="1" applyAlignment="1">
      <alignment horizontal="justify" vertical="top"/>
    </xf>
    <xf numFmtId="41" fontId="20" fillId="0" borderId="0" xfId="0" applyNumberFormat="1" applyFont="1" applyAlignment="1">
      <alignment vertical="center"/>
    </xf>
    <xf numFmtId="43" fontId="13" fillId="0" borderId="0" xfId="0" applyNumberFormat="1" applyFont="1"/>
    <xf numFmtId="0" fontId="2" fillId="0" borderId="0" xfId="0" applyFont="1" applyAlignment="1">
      <alignment wrapText="1"/>
    </xf>
    <xf numFmtId="43" fontId="13" fillId="0" borderId="0" xfId="1" applyFont="1" applyAlignment="1">
      <alignment vertical="center"/>
    </xf>
    <xf numFmtId="4" fontId="21" fillId="0" borderId="0" xfId="0" applyNumberFormat="1" applyFont="1"/>
    <xf numFmtId="4" fontId="0" fillId="0" borderId="0" xfId="0" applyNumberFormat="1"/>
    <xf numFmtId="0" fontId="4" fillId="0" borderId="0" xfId="0" applyFont="1"/>
    <xf numFmtId="41" fontId="22" fillId="0" borderId="0" xfId="0" applyNumberFormat="1" applyFont="1" applyAlignment="1">
      <alignment vertical="center"/>
    </xf>
    <xf numFmtId="41" fontId="2" fillId="0" borderId="0" xfId="0" applyNumberFormat="1" applyFont="1" applyAlignment="1" applyProtection="1">
      <alignment vertical="center"/>
      <protection locked="0"/>
    </xf>
    <xf numFmtId="41" fontId="4" fillId="0" borderId="3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13" fillId="3" borderId="1" xfId="1" applyFont="1" applyFill="1" applyBorder="1"/>
    <xf numFmtId="43" fontId="13" fillId="0" borderId="1" xfId="1" applyFont="1" applyBorder="1"/>
    <xf numFmtId="43" fontId="13" fillId="0" borderId="1" xfId="1" applyFont="1" applyBorder="1" applyAlignment="1">
      <alignment vertical="center"/>
    </xf>
    <xf numFmtId="43" fontId="4" fillId="0" borderId="1" xfId="1" applyFont="1" applyBorder="1"/>
    <xf numFmtId="43" fontId="4" fillId="0" borderId="1" xfId="1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41" fontId="4" fillId="0" borderId="8" xfId="0" applyNumberFormat="1" applyFont="1" applyBorder="1"/>
    <xf numFmtId="41" fontId="13" fillId="0" borderId="8" xfId="0" applyNumberFormat="1" applyFont="1" applyBorder="1"/>
    <xf numFmtId="41" fontId="4" fillId="0" borderId="8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171" fontId="0" fillId="0" borderId="0" xfId="0" applyNumberForma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6" fillId="0" borderId="0" xfId="0" applyFont="1" applyAlignment="1">
      <alignment horizontal="left" vertical="center"/>
    </xf>
    <xf numFmtId="0" fontId="2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3ED244F6-CDEF-4716-A30F-E41099615E6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ldo.javier/Desktop/INFORME%20FINANCIEROS%20LIBRE%20ACCESO%202023/Informe%20Financiero%20Septiembre%20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Ejecución ENERO"/>
      <sheetName val="Febrero"/>
      <sheetName val="Abril "/>
      <sheetName val="Mayo"/>
      <sheetName val="Junio"/>
      <sheetName val="Julio"/>
      <sheetName val="Agosto"/>
      <sheetName val="Sept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0">
          <cell r="E40">
            <v>147992.03999999998</v>
          </cell>
        </row>
      </sheetData>
      <sheetData sheetId="9">
        <row r="21">
          <cell r="D21">
            <v>1528900</v>
          </cell>
        </row>
        <row r="23">
          <cell r="D23">
            <v>222003442.08000001</v>
          </cell>
        </row>
        <row r="24">
          <cell r="D24">
            <v>-153774672.22</v>
          </cell>
        </row>
        <row r="29">
          <cell r="D29">
            <v>-6625206.4299999997</v>
          </cell>
        </row>
        <row r="30">
          <cell r="D30">
            <v>-408698.39</v>
          </cell>
        </row>
        <row r="39">
          <cell r="D39">
            <v>-3630000</v>
          </cell>
        </row>
        <row r="40">
          <cell r="D40">
            <v>-13047699.48</v>
          </cell>
        </row>
        <row r="47">
          <cell r="D47">
            <v>10624980.73</v>
          </cell>
        </row>
        <row r="66">
          <cell r="D66">
            <v>2905507.9200000004</v>
          </cell>
        </row>
        <row r="110">
          <cell r="D110">
            <v>1689508.9</v>
          </cell>
        </row>
        <row r="165">
          <cell r="D165">
            <v>86605</v>
          </cell>
        </row>
        <row r="166">
          <cell r="D166">
            <v>1629896.38</v>
          </cell>
        </row>
      </sheetData>
      <sheetData sheetId="10">
        <row r="8">
          <cell r="F8">
            <v>3630000</v>
          </cell>
        </row>
        <row r="9">
          <cell r="F9">
            <v>13047699.48</v>
          </cell>
        </row>
        <row r="11">
          <cell r="F11">
            <v>0</v>
          </cell>
        </row>
        <row r="29">
          <cell r="F29">
            <v>-258799.44999999925</v>
          </cell>
        </row>
      </sheetData>
      <sheetData sheetId="11">
        <row r="13">
          <cell r="G13">
            <v>27301926.220000003</v>
          </cell>
        </row>
        <row r="18">
          <cell r="G18">
            <v>1925877.63</v>
          </cell>
        </row>
        <row r="19">
          <cell r="G19">
            <v>-258799.44999999925</v>
          </cell>
        </row>
      </sheetData>
      <sheetData sheetId="12">
        <row r="63">
          <cell r="C63">
            <v>17940565.359999999</v>
          </cell>
        </row>
      </sheetData>
      <sheetData sheetId="13"/>
      <sheetData sheetId="14">
        <row r="41">
          <cell r="F41">
            <v>87698235.220000014</v>
          </cell>
        </row>
        <row r="72">
          <cell r="F72">
            <v>87698235.219999984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4FC0A985-393C-4BBC-AD33-62F8470F35CD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4FC0A985-393C-4BBC-AD33-62F8470F35CD}" id="{6CEF82DA-E3F0-462F-8A7F-86A7F423564B}">
    <text>=416347.99+25779.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7739-B192-41F5-8CF5-A084947B26ED}">
  <sheetPr filterMode="1"/>
  <dimension ref="A1:N48"/>
  <sheetViews>
    <sheetView tabSelected="1" view="pageBreakPreview" topLeftCell="C36" zoomScaleSheetLayoutView="100" workbookViewId="0">
      <selection activeCell="D6" sqref="D6"/>
    </sheetView>
  </sheetViews>
  <sheetFormatPr baseColWidth="10" defaultColWidth="11.42578125" defaultRowHeight="15" x14ac:dyDescent="0.25"/>
  <cols>
    <col min="1" max="1" width="5.42578125" style="9" hidden="1" customWidth="1"/>
    <col min="2" max="2" width="3.7109375" style="2" hidden="1" customWidth="1"/>
    <col min="3" max="3" width="57.42578125" style="2" customWidth="1"/>
    <col min="4" max="4" width="21.7109375" style="2" customWidth="1"/>
    <col min="5" max="5" width="5.7109375" style="2" customWidth="1"/>
    <col min="6" max="6" width="20" style="2" customWidth="1"/>
    <col min="7" max="7" width="4.85546875" style="2" customWidth="1"/>
    <col min="8" max="8" width="20.5703125" style="2" hidden="1" customWidth="1"/>
    <col min="9" max="9" width="3.7109375" style="2" customWidth="1"/>
    <col min="10" max="10" width="19.85546875" style="2" customWidth="1"/>
    <col min="11" max="11" width="14.85546875" style="2" hidden="1" customWidth="1"/>
    <col min="12" max="12" width="15.85546875" style="2" bestFit="1" customWidth="1"/>
    <col min="13" max="13" width="14.140625" style="2" bestFit="1" customWidth="1"/>
    <col min="14" max="16384" width="11.42578125" style="3"/>
  </cols>
  <sheetData>
    <row r="1" spans="1:13" ht="117.75" customHeight="1" x14ac:dyDescent="0.25">
      <c r="C1" s="146" t="str">
        <f>'[6] ERF-Rendimiento Financiero'!C3</f>
        <v>Estado de Rendimiento Financiero</v>
      </c>
      <c r="D1" s="146"/>
      <c r="E1" s="146"/>
      <c r="F1" s="146"/>
      <c r="G1" s="146"/>
      <c r="H1" s="146"/>
    </row>
    <row r="2" spans="1:13" ht="15" customHeight="1" x14ac:dyDescent="0.25">
      <c r="C2" s="147" t="s">
        <v>160</v>
      </c>
      <c r="D2" s="147"/>
      <c r="E2" s="147"/>
      <c r="F2" s="147"/>
      <c r="G2" s="147"/>
      <c r="H2" s="65"/>
    </row>
    <row r="3" spans="1:13" ht="15" customHeight="1" x14ac:dyDescent="0.25">
      <c r="C3" s="147" t="str">
        <f>'[6] ERF-Rendimiento Financiero'!C5</f>
        <v>(Valores en RD$)</v>
      </c>
      <c r="D3" s="147"/>
      <c r="E3" s="147"/>
      <c r="F3" s="147"/>
      <c r="G3" s="147"/>
      <c r="H3" s="147"/>
    </row>
    <row r="4" spans="1:13" ht="15" customHeight="1" x14ac:dyDescent="0.25">
      <c r="C4" s="11"/>
      <c r="D4" s="11"/>
      <c r="E4" s="11"/>
      <c r="F4" s="12"/>
      <c r="G4" s="12"/>
      <c r="H4" s="12"/>
    </row>
    <row r="5" spans="1:13" ht="36" customHeight="1" x14ac:dyDescent="0.25">
      <c r="C5" s="12"/>
      <c r="D5" s="12"/>
      <c r="E5" s="12"/>
      <c r="F5" s="148"/>
      <c r="G5" s="148"/>
      <c r="H5" s="148">
        <f>+'[1]ESF - Situación Financiera'!H19</f>
        <v>2021</v>
      </c>
    </row>
    <row r="6" spans="1:13" ht="15.75" x14ac:dyDescent="0.25">
      <c r="C6" s="11" t="s">
        <v>161</v>
      </c>
      <c r="D6" s="11"/>
      <c r="E6" s="11"/>
      <c r="F6" s="13"/>
      <c r="G6" s="149"/>
      <c r="H6" s="19"/>
      <c r="K6" s="22"/>
    </row>
    <row r="7" spans="1:13" hidden="1" x14ac:dyDescent="0.25">
      <c r="A7" s="9" t="s">
        <v>162</v>
      </c>
      <c r="C7" s="2" t="s">
        <v>163</v>
      </c>
      <c r="F7" s="22" t="e">
        <f>-SUMIF('[1]BC Balance Comprobación'!A:A,' ERF-Rendimiento Financiero'!A7,'[1]BC Balance Comprobación'!D:D)</f>
        <v>#VALUE!</v>
      </c>
      <c r="G7" s="22"/>
      <c r="H7" s="22" t="e">
        <f>-SUMIF('[1]BC Balance Comprobación'!A:A,' ERF-Rendimiento Financiero'!A7,'[1]BC Balance Comprobación'!F:F)</f>
        <v>#VALUE!</v>
      </c>
      <c r="K7" s="22" t="e">
        <f>+F7+H7</f>
        <v>#VALUE!</v>
      </c>
    </row>
    <row r="8" spans="1:13" ht="15.75" x14ac:dyDescent="0.25">
      <c r="A8" s="9" t="s">
        <v>164</v>
      </c>
      <c r="C8" s="12" t="s">
        <v>165</v>
      </c>
      <c r="D8" s="12"/>
      <c r="E8" s="12"/>
      <c r="F8" s="13">
        <f>-'[2]BC Balance Comprobación'!D39</f>
        <v>3630000</v>
      </c>
      <c r="G8" s="13"/>
      <c r="H8" s="13" t="e">
        <f>-SUMIF('[1]BC Balance Comprobación'!A:A,' ERF-Rendimiento Financiero'!A8,'[1]BC Balance Comprobación'!F:F)</f>
        <v>#VALUE!</v>
      </c>
      <c r="K8" s="22" t="e">
        <f>+F8+H8</f>
        <v>#VALUE!</v>
      </c>
    </row>
    <row r="9" spans="1:13" ht="15.75" x14ac:dyDescent="0.25">
      <c r="A9" s="9" t="s">
        <v>166</v>
      </c>
      <c r="C9" s="12" t="s">
        <v>167</v>
      </c>
      <c r="D9" s="12"/>
      <c r="E9" s="12"/>
      <c r="F9" s="13">
        <f>-'[2]BC Balance Comprobación'!D40</f>
        <v>13047699.48</v>
      </c>
      <c r="G9" s="13"/>
      <c r="H9" s="13" t="e">
        <f>-SUMIF('[1]BC Balance Comprobación'!A:A,' ERF-Rendimiento Financiero'!A9,'[1]BC Balance Comprobación'!F:F)</f>
        <v>#VALUE!</v>
      </c>
      <c r="K9" s="22" t="e">
        <f>+F9+H9</f>
        <v>#VALUE!</v>
      </c>
    </row>
    <row r="10" spans="1:13" ht="15.75" x14ac:dyDescent="0.25">
      <c r="C10" s="12" t="s">
        <v>168</v>
      </c>
      <c r="D10" s="12"/>
      <c r="E10" s="12"/>
      <c r="F10" s="13">
        <f>-'[2]BC Balance Comprobación'!D42</f>
        <v>0</v>
      </c>
      <c r="G10" s="13"/>
      <c r="H10" s="13"/>
      <c r="K10" s="22"/>
    </row>
    <row r="11" spans="1:13" ht="15.75" x14ac:dyDescent="0.25">
      <c r="A11" s="9" t="s">
        <v>169</v>
      </c>
      <c r="C11" s="12" t="s">
        <v>170</v>
      </c>
      <c r="D11" s="12"/>
      <c r="E11" s="12"/>
      <c r="F11" s="30">
        <f>-'[2]BC Balance Comprobación'!D41</f>
        <v>0</v>
      </c>
      <c r="G11" s="13"/>
      <c r="H11" s="30" t="e">
        <f>-SUMIF('[1]BC Balance Comprobación'!A:A,' ERF-Rendimiento Financiero'!A11,'[1]BC Balance Comprobación'!F:F)</f>
        <v>#VALUE!</v>
      </c>
      <c r="K11" s="22" t="e">
        <f>+F11+H11</f>
        <v>#VALUE!</v>
      </c>
    </row>
    <row r="12" spans="1:13" ht="15.75" x14ac:dyDescent="0.25">
      <c r="C12" s="65" t="s">
        <v>171</v>
      </c>
      <c r="D12" s="65"/>
      <c r="E12" s="65"/>
      <c r="F12" s="38">
        <f>+F8+F9+F10+F11</f>
        <v>16677699.48</v>
      </c>
      <c r="G12" s="20"/>
      <c r="H12" s="38" t="e">
        <f>SUM(H7:H11)</f>
        <v>#VALUE!</v>
      </c>
      <c r="K12" s="22" t="e">
        <f>+F12+H12</f>
        <v>#VALUE!</v>
      </c>
      <c r="L12" s="40"/>
    </row>
    <row r="13" spans="1:13" ht="18.75" customHeight="1" x14ac:dyDescent="0.25">
      <c r="C13" s="12" t="s">
        <v>40</v>
      </c>
      <c r="D13" s="12"/>
      <c r="E13" s="12"/>
      <c r="F13" s="13"/>
      <c r="G13" s="13"/>
      <c r="H13" s="13"/>
    </row>
    <row r="14" spans="1:13" ht="15.75" x14ac:dyDescent="0.25">
      <c r="C14" s="65" t="s">
        <v>172</v>
      </c>
      <c r="D14" s="65"/>
      <c r="E14" s="65"/>
      <c r="F14" s="23"/>
      <c r="G14" s="23"/>
      <c r="H14" s="23"/>
      <c r="K14" s="22"/>
    </row>
    <row r="15" spans="1:13" ht="15.75" x14ac:dyDescent="0.25">
      <c r="A15" s="9" t="s">
        <v>173</v>
      </c>
      <c r="C15" s="12" t="s">
        <v>174</v>
      </c>
      <c r="D15" s="12"/>
      <c r="E15" s="12"/>
      <c r="F15" s="13">
        <f>+'[2]BC Balance Comprobación'!D47+'[2]BC Balance Comprobación'!D48+'[2]BC Balance Comprobación'!D49+'[2]BC Balance Comprobación'!D55+'[2]BC Balance Comprobación'!D56+'[2]BC Balance Comprobación'!D61+'[2]BC Balance Comprobación'!D62+'[2]BC Balance Comprobación'!D63</f>
        <v>10624980.73</v>
      </c>
      <c r="G15" s="13"/>
      <c r="H15" s="13" t="e">
        <f>SUMIF('[1]BC Balance Comprobación'!A:A,' ERF-Rendimiento Financiero'!A15,'[1]BC Balance Comprobación'!F:F)</f>
        <v>#VALUE!</v>
      </c>
      <c r="J15" s="22"/>
      <c r="K15" s="22" t="e">
        <f t="shared" ref="K15:K27" si="0">+F15+H15</f>
        <v>#VALUE!</v>
      </c>
      <c r="L15" s="22"/>
      <c r="M15" s="22"/>
    </row>
    <row r="16" spans="1:13" ht="15.75" x14ac:dyDescent="0.25">
      <c r="A16" s="9" t="s">
        <v>175</v>
      </c>
      <c r="C16" s="2" t="s">
        <v>176</v>
      </c>
      <c r="F16" s="13">
        <f>+'[2]BC Balance Comprobación'!D66</f>
        <v>2905507.9200000004</v>
      </c>
      <c r="G16" s="22"/>
      <c r="H16" s="22" t="e">
        <f>SUMIF('[1]BC Balance Comprobación'!A:A,' ERF-Rendimiento Financiero'!A16,'[1]BC Balance Comprobación'!F:F)</f>
        <v>#VALUE!</v>
      </c>
      <c r="K16" s="22" t="e">
        <f t="shared" si="0"/>
        <v>#VALUE!</v>
      </c>
    </row>
    <row r="17" spans="1:14" ht="15.75" x14ac:dyDescent="0.25">
      <c r="A17" s="9" t="s">
        <v>177</v>
      </c>
      <c r="C17" s="12" t="s">
        <v>178</v>
      </c>
      <c r="D17" s="12"/>
      <c r="E17" s="12"/>
      <c r="F17" s="13">
        <f>+'[2]BC Balance Comprobación'!D110+'[2]BC Balance Comprobación'!D111+'[2]BC Balance Comprobación'!D112+'[2]BC Balance Comprobación'!D113+'[2]BC Balance Comprobación'!D114+'[2]BC Balance Comprobación'!D115+'[2]BC Balance Comprobación'!D117+'[2]BC Balance Comprobación'!D118+'[2]BC Balance Comprobación'!D119+'[2]BC Balance Comprobación'!D120+'[2]BC Balance Comprobación'!D122+'[2]BC Balance Comprobación'!D123+'[2]BC Balance Comprobación'!D124+'[2]BC Balance Comprobación'!D125+'[2]BC Balance Comprobación'!D126+'[2]BC Balance Comprobación'!D128+'[2]BC Balance Comprobación'!D129+'[2]BC Balance Comprobación'!D130+'[2]BC Balance Comprobación'!D131+'[2]BC Balance Comprobación'!D132+'[2]BC Balance Comprobación'!D133+'[2]BC Balance Comprobación'!D134+'[2]BC Balance Comprobación'!D135+'[2]BC Balance Comprobación'!D136+'[2]BC Balance Comprobación'!D138+'[2]BC Balance Comprobación'!D139+'[2]BC Balance Comprobación'!D140+'[2]BC Balance Comprobación'!D141+'[2]BC Balance Comprobación'!D143+'[2]BC Balance Comprobación'!D144+'[2]BC Balance Comprobación'!D146+'[2]BC Balance Comprobación'!D147+'[2]BC Balance Comprobación'!D148+'[2]BC Balance Comprobación'!D149+'[2]BC Balance Comprobación'!D150+'[2]BC Balance Comprobación'!D151+'[2]BC Balance Comprobación'!D152+'[2]BC Balance Comprobación'!D153+'[2]BC Balance Comprobación'!D154+'[2]BC Balance Comprobación'!D155+'[2]BC Balance Comprobación'!D156+'[2]BC Balance Comprobación'!D157+'[2]BC Balance Comprobación'!D158</f>
        <v>1689508.9</v>
      </c>
      <c r="G17" s="13"/>
      <c r="H17" s="13" t="e">
        <f>SUMIF('[1]BC Balance Comprobación'!A:A,' ERF-Rendimiento Financiero'!A17,'[1]BC Balance Comprobación'!F:F)</f>
        <v>#VALUE!</v>
      </c>
      <c r="J17" s="40"/>
      <c r="K17" s="22" t="e">
        <f t="shared" si="0"/>
        <v>#VALUE!</v>
      </c>
      <c r="L17" s="24"/>
      <c r="M17" s="40"/>
      <c r="N17" s="150"/>
    </row>
    <row r="18" spans="1:14" ht="15.75" x14ac:dyDescent="0.25">
      <c r="C18" s="12" t="s">
        <v>179</v>
      </c>
      <c r="D18" s="12"/>
      <c r="E18" s="12"/>
      <c r="F18" s="13">
        <f>+'[2]BC Balance Comprobación'!D165</f>
        <v>86605</v>
      </c>
      <c r="G18" s="13"/>
      <c r="H18" s="13"/>
      <c r="J18" s="40"/>
      <c r="K18" s="22"/>
      <c r="L18" s="24"/>
      <c r="M18" s="40"/>
      <c r="N18" s="150"/>
    </row>
    <row r="19" spans="1:14" ht="15.75" x14ac:dyDescent="0.25">
      <c r="A19" s="9" t="s">
        <v>180</v>
      </c>
      <c r="C19" s="12" t="s">
        <v>181</v>
      </c>
      <c r="D19" s="12"/>
      <c r="E19" s="12"/>
      <c r="F19" s="30">
        <f>'[2]BC Balance Comprobación'!D166</f>
        <v>1629896.38</v>
      </c>
      <c r="G19" s="13"/>
      <c r="H19" s="13" t="e">
        <f>SUMIF('[1]BC Balance Comprobación'!A:A,' ERF-Rendimiento Financiero'!A19,'[1]BC Balance Comprobación'!F:F)</f>
        <v>#VALUE!</v>
      </c>
      <c r="J19" s="22"/>
      <c r="K19" s="22" t="e">
        <f t="shared" si="0"/>
        <v>#VALUE!</v>
      </c>
    </row>
    <row r="20" spans="1:14" ht="15.75" hidden="1" x14ac:dyDescent="0.25">
      <c r="A20" s="9" t="s">
        <v>182</v>
      </c>
      <c r="C20" s="2" t="s">
        <v>183</v>
      </c>
      <c r="F20" s="38"/>
      <c r="G20" s="22"/>
      <c r="H20" s="22" t="e">
        <f>SUMIF('[1]BC Balance Comprobación'!A:A,' ERF-Rendimiento Financiero'!A20,'[1]BC Balance Comprobación'!F:F)</f>
        <v>#VALUE!</v>
      </c>
      <c r="K20" s="22" t="e">
        <f t="shared" si="0"/>
        <v>#VALUE!</v>
      </c>
    </row>
    <row r="21" spans="1:14" ht="15.75" hidden="1" x14ac:dyDescent="0.25">
      <c r="A21" s="9" t="s">
        <v>184</v>
      </c>
      <c r="C21" s="12" t="s">
        <v>185</v>
      </c>
      <c r="D21" s="12"/>
      <c r="E21" s="12"/>
      <c r="F21" s="30">
        <f>'[1]BC Balance Comprobación'!D153</f>
        <v>0</v>
      </c>
      <c r="G21" s="13"/>
      <c r="H21" s="30" t="e">
        <f>SUMIF('[1]BC Balance Comprobación'!A:A,' ERF-Rendimiento Financiero'!A21,'[1]BC Balance Comprobación'!F:F)</f>
        <v>#VALUE!</v>
      </c>
      <c r="J21" s="22"/>
      <c r="K21" s="22" t="e">
        <f t="shared" si="0"/>
        <v>#VALUE!</v>
      </c>
      <c r="L21" s="24"/>
      <c r="N21" s="150"/>
    </row>
    <row r="22" spans="1:14" hidden="1" x14ac:dyDescent="0.25">
      <c r="A22" s="9" t="s">
        <v>186</v>
      </c>
      <c r="C22" s="2" t="s">
        <v>187</v>
      </c>
      <c r="F22" s="22" t="e">
        <f>SUMIF('[1]BC Balance Comprobación'!A:A,' ERF-Rendimiento Financiero'!A22,'[1]BC Balance Comprobación'!D:D)</f>
        <v>#VALUE!</v>
      </c>
      <c r="G22" s="22"/>
      <c r="H22" s="22" t="e">
        <f>SUMIF('[1]BC Balance Comprobación'!A:A,' ERF-Rendimiento Financiero'!A22,'[1]BC Balance Comprobación'!F:F)</f>
        <v>#VALUE!</v>
      </c>
      <c r="K22" s="22" t="e">
        <f t="shared" si="0"/>
        <v>#VALUE!</v>
      </c>
    </row>
    <row r="23" spans="1:14" ht="15.75" x14ac:dyDescent="0.25">
      <c r="C23" s="65" t="s">
        <v>188</v>
      </c>
      <c r="D23" s="65"/>
      <c r="E23" s="65"/>
      <c r="F23" s="20">
        <f>+F15+F16+F17+F18+F19</f>
        <v>16936498.93</v>
      </c>
      <c r="G23" s="20"/>
      <c r="H23" s="38" t="e">
        <f>SUM(H15:H22)</f>
        <v>#VALUE!</v>
      </c>
      <c r="J23" s="44"/>
      <c r="K23" s="22" t="e">
        <f t="shared" si="0"/>
        <v>#VALUE!</v>
      </c>
      <c r="L23" s="22"/>
    </row>
    <row r="24" spans="1:14" x14ac:dyDescent="0.25">
      <c r="F24" s="22"/>
      <c r="G24" s="22"/>
      <c r="H24" s="22"/>
      <c r="J24" s="44"/>
      <c r="K24" s="22">
        <f t="shared" si="0"/>
        <v>0</v>
      </c>
    </row>
    <row r="25" spans="1:14" hidden="1" x14ac:dyDescent="0.25">
      <c r="A25" s="9" t="s">
        <v>189</v>
      </c>
      <c r="C25" s="2" t="s">
        <v>190</v>
      </c>
      <c r="F25" s="22">
        <v>0</v>
      </c>
      <c r="G25" s="22"/>
      <c r="H25" s="22">
        <v>0</v>
      </c>
      <c r="K25" s="22">
        <f t="shared" si="0"/>
        <v>0</v>
      </c>
    </row>
    <row r="26" spans="1:14" hidden="1" x14ac:dyDescent="0.25">
      <c r="F26" s="22"/>
      <c r="G26" s="22"/>
      <c r="H26" s="22"/>
      <c r="K26" s="22">
        <f t="shared" si="0"/>
        <v>0</v>
      </c>
    </row>
    <row r="27" spans="1:14" hidden="1" x14ac:dyDescent="0.25">
      <c r="A27" s="9" t="s">
        <v>191</v>
      </c>
      <c r="C27" s="2" t="s">
        <v>192</v>
      </c>
      <c r="F27" s="22">
        <v>0</v>
      </c>
      <c r="G27" s="22"/>
      <c r="H27" s="22">
        <v>0</v>
      </c>
      <c r="K27" s="22">
        <f t="shared" si="0"/>
        <v>0</v>
      </c>
    </row>
    <row r="28" spans="1:14" ht="15.75" x14ac:dyDescent="0.25">
      <c r="C28" s="12"/>
      <c r="D28" s="12"/>
      <c r="E28" s="12"/>
      <c r="F28" s="13"/>
      <c r="G28" s="13"/>
      <c r="H28" s="13"/>
      <c r="J28" s="44"/>
    </row>
    <row r="29" spans="1:14" ht="16.5" thickBot="1" x14ac:dyDescent="0.3">
      <c r="C29" s="12" t="s">
        <v>84</v>
      </c>
      <c r="D29" s="12"/>
      <c r="E29" s="12"/>
      <c r="F29" s="34">
        <f>F12-F23</f>
        <v>-258799.44999999925</v>
      </c>
      <c r="G29" s="20"/>
      <c r="H29" s="34" t="e">
        <f>+H12-H23+H25+H27</f>
        <v>#VALUE!</v>
      </c>
      <c r="K29" s="22" t="e">
        <f>+F29+H29</f>
        <v>#VALUE!</v>
      </c>
    </row>
    <row r="30" spans="1:14" ht="16.5" thickTop="1" x14ac:dyDescent="0.25">
      <c r="C30" s="12"/>
      <c r="D30" s="12"/>
      <c r="E30" s="12"/>
      <c r="F30" s="13"/>
      <c r="G30" s="13"/>
      <c r="H30" s="13"/>
      <c r="J30" s="22"/>
    </row>
    <row r="31" spans="1:14" hidden="1" x14ac:dyDescent="0.25">
      <c r="F31" s="22"/>
      <c r="G31" s="22"/>
      <c r="H31" s="22"/>
      <c r="K31" s="22">
        <f>+F31+H31</f>
        <v>0</v>
      </c>
    </row>
    <row r="32" spans="1:14" hidden="1" x14ac:dyDescent="0.25">
      <c r="A32" s="9" t="s">
        <v>193</v>
      </c>
      <c r="C32" s="2" t="s">
        <v>194</v>
      </c>
      <c r="F32" s="22">
        <v>0</v>
      </c>
      <c r="G32" s="22"/>
      <c r="H32" s="22">
        <v>0</v>
      </c>
      <c r="K32" s="22">
        <f>+F32+H32</f>
        <v>0</v>
      </c>
    </row>
    <row r="33" spans="1:11" hidden="1" x14ac:dyDescent="0.25">
      <c r="A33" s="9" t="s">
        <v>195</v>
      </c>
      <c r="C33" s="2" t="s">
        <v>196</v>
      </c>
      <c r="F33" s="31">
        <v>0</v>
      </c>
      <c r="G33" s="31"/>
      <c r="H33" s="31">
        <v>0</v>
      </c>
      <c r="K33" s="22">
        <f>+F33+H33</f>
        <v>0</v>
      </c>
    </row>
    <row r="34" spans="1:11" ht="15.75" hidden="1" thickBot="1" x14ac:dyDescent="0.3">
      <c r="F34" s="51">
        <f>SUM(F32:F33)</f>
        <v>0</v>
      </c>
      <c r="G34" s="41"/>
      <c r="H34" s="51">
        <f>SUM(H32:H33)</f>
        <v>0</v>
      </c>
      <c r="K34" s="22">
        <f>+F34+H34</f>
        <v>0</v>
      </c>
    </row>
    <row r="35" spans="1:11" ht="15.75" hidden="1" x14ac:dyDescent="0.25">
      <c r="C35" s="12"/>
      <c r="D35" s="12"/>
      <c r="E35" s="12"/>
      <c r="F35" s="13"/>
      <c r="G35" s="13"/>
      <c r="H35" s="13"/>
    </row>
    <row r="36" spans="1:11" ht="15.75" x14ac:dyDescent="0.25">
      <c r="C36" s="151"/>
      <c r="D36" s="151"/>
      <c r="E36" s="151"/>
      <c r="F36" s="151"/>
      <c r="G36" s="151"/>
      <c r="H36" s="151"/>
    </row>
    <row r="37" spans="1:11" ht="15.75" hidden="1" x14ac:dyDescent="0.25">
      <c r="C37" s="12" t="s">
        <v>139</v>
      </c>
      <c r="D37" s="12"/>
      <c r="E37" s="12"/>
      <c r="F37" s="11"/>
      <c r="G37" s="11"/>
      <c r="H37" s="12"/>
    </row>
    <row r="38" spans="1:11" ht="15.75" x14ac:dyDescent="0.25">
      <c r="C38" s="11"/>
      <c r="D38" s="11"/>
      <c r="E38" s="11"/>
      <c r="F38" s="12"/>
      <c r="G38" s="12"/>
      <c r="H38" s="12"/>
    </row>
    <row r="39" spans="1:11" ht="15.75" x14ac:dyDescent="0.25">
      <c r="C39" s="11"/>
      <c r="D39" s="11"/>
      <c r="E39" s="11"/>
      <c r="F39" s="69"/>
      <c r="G39" s="12"/>
      <c r="H39" s="12"/>
    </row>
    <row r="40" spans="1:11" ht="15.75" x14ac:dyDescent="0.25">
      <c r="C40" s="11"/>
      <c r="D40" s="11"/>
      <c r="E40" s="11"/>
      <c r="F40" s="13"/>
      <c r="G40" s="12"/>
      <c r="H40" s="12"/>
    </row>
    <row r="41" spans="1:11" ht="15.75" x14ac:dyDescent="0.25">
      <c r="C41" s="11"/>
      <c r="D41" s="11"/>
      <c r="E41" s="11"/>
      <c r="F41" s="69"/>
      <c r="G41" s="12"/>
      <c r="H41" s="12"/>
      <c r="J41" s="40"/>
    </row>
    <row r="42" spans="1:11" ht="15.75" x14ac:dyDescent="0.25">
      <c r="C42" s="12"/>
      <c r="D42" s="12"/>
      <c r="E42" s="12"/>
      <c r="F42" s="12"/>
      <c r="G42" s="12"/>
      <c r="H42" s="12"/>
    </row>
    <row r="43" spans="1:11" ht="15.75" hidden="1" x14ac:dyDescent="0.25">
      <c r="C43" s="72" t="s">
        <v>89</v>
      </c>
      <c r="D43" s="72"/>
      <c r="E43" s="72"/>
      <c r="F43" s="72"/>
      <c r="G43" s="72"/>
      <c r="H43" s="72"/>
    </row>
    <row r="44" spans="1:11" ht="18.75" hidden="1" x14ac:dyDescent="0.25">
      <c r="C44" s="73"/>
      <c r="D44" s="73"/>
      <c r="E44" s="73"/>
      <c r="F44" s="73"/>
      <c r="G44" s="73"/>
      <c r="H44" s="73"/>
    </row>
    <row r="45" spans="1:11" ht="18.75" hidden="1" x14ac:dyDescent="0.25">
      <c r="C45" s="74"/>
      <c r="D45" s="74"/>
      <c r="E45" s="74"/>
      <c r="F45" s="74"/>
      <c r="G45" s="74"/>
      <c r="H45" s="74"/>
    </row>
    <row r="46" spans="1:11" ht="15.75" hidden="1" customHeight="1" x14ac:dyDescent="0.3">
      <c r="C46" s="72"/>
      <c r="D46" s="72"/>
      <c r="E46" s="72"/>
      <c r="F46" s="72"/>
      <c r="G46" s="72"/>
      <c r="H46" s="152"/>
    </row>
    <row r="47" spans="1:11" ht="18.75" x14ac:dyDescent="0.25">
      <c r="C47" s="147" t="s">
        <v>87</v>
      </c>
      <c r="D47" s="147"/>
      <c r="E47" s="147"/>
      <c r="F47" s="147"/>
      <c r="G47" s="65"/>
      <c r="H47" s="74"/>
    </row>
    <row r="48" spans="1:11" x14ac:dyDescent="0.25">
      <c r="C48" s="153" t="s">
        <v>88</v>
      </c>
      <c r="D48" s="153"/>
      <c r="E48" s="153"/>
      <c r="F48" s="153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B00A9-4ED5-4661-8065-A8B304D6B4EC}">
  <sheetPr filterMode="1"/>
  <dimension ref="A2:N30"/>
  <sheetViews>
    <sheetView view="pageBreakPreview" zoomScale="75" zoomScaleSheetLayoutView="75" workbookViewId="0">
      <selection activeCell="H25" sqref="H25"/>
    </sheetView>
  </sheetViews>
  <sheetFormatPr baseColWidth="10" defaultColWidth="11.42578125" defaultRowHeight="15" x14ac:dyDescent="0.25"/>
  <cols>
    <col min="1" max="1" width="3.7109375" style="2" customWidth="1"/>
    <col min="2" max="2" width="1.28515625" style="2" customWidth="1"/>
    <col min="3" max="3" width="48" style="2" customWidth="1"/>
    <col min="4" max="4" width="19.28515625" style="28" customWidth="1"/>
    <col min="5" max="5" width="16.5703125" style="28" customWidth="1"/>
    <col min="6" max="6" width="19.140625" style="28" customWidth="1"/>
    <col min="7" max="7" width="18.85546875" style="2" customWidth="1"/>
    <col min="8" max="8" width="29.28515625" style="2" bestFit="1" customWidth="1"/>
    <col min="9" max="9" width="17.42578125" style="2" customWidth="1"/>
    <col min="10" max="10" width="18.140625" style="3" customWidth="1"/>
    <col min="11" max="11" width="20" style="3" customWidth="1"/>
    <col min="12" max="12" width="14.85546875" style="3" bestFit="1" customWidth="1"/>
    <col min="13" max="13" width="24" style="3" customWidth="1"/>
    <col min="14" max="14" width="15.42578125" style="3" bestFit="1" customWidth="1"/>
    <col min="15" max="16384" width="11.42578125" style="3"/>
  </cols>
  <sheetData>
    <row r="2" spans="1:13" ht="18.75" x14ac:dyDescent="0.25">
      <c r="B2" s="8"/>
      <c r="C2" s="8"/>
      <c r="D2" s="8"/>
      <c r="E2" s="8"/>
      <c r="F2" s="8"/>
      <c r="G2" s="8"/>
      <c r="H2" s="8"/>
    </row>
    <row r="3" spans="1:13" ht="18.75" x14ac:dyDescent="0.25">
      <c r="B3" s="8" t="s">
        <v>142</v>
      </c>
      <c r="C3" s="8"/>
      <c r="D3" s="8"/>
      <c r="E3" s="8"/>
      <c r="F3" s="8"/>
      <c r="G3" s="8"/>
      <c r="H3" s="8"/>
    </row>
    <row r="4" spans="1:13" ht="18.75" x14ac:dyDescent="0.25">
      <c r="B4" s="8" t="s">
        <v>143</v>
      </c>
      <c r="C4" s="8"/>
      <c r="D4" s="8"/>
      <c r="E4" s="8"/>
      <c r="F4" s="8"/>
      <c r="G4" s="8"/>
      <c r="H4" s="8"/>
    </row>
    <row r="5" spans="1:13" ht="18.75" x14ac:dyDescent="0.25">
      <c r="B5" s="8" t="s">
        <v>2</v>
      </c>
      <c r="C5" s="8"/>
      <c r="D5" s="8"/>
      <c r="E5" s="8"/>
      <c r="F5" s="8"/>
      <c r="G5" s="8"/>
      <c r="H5" s="8"/>
    </row>
    <row r="6" spans="1:13" ht="18.75" x14ac:dyDescent="0.3">
      <c r="B6" s="74"/>
      <c r="C6" s="77"/>
      <c r="D6" s="92"/>
      <c r="E6" s="92"/>
      <c r="F6" s="92"/>
      <c r="G6" s="74"/>
      <c r="H6" s="74"/>
    </row>
    <row r="7" spans="1:13" ht="56.25" x14ac:dyDescent="0.25">
      <c r="B7" s="74"/>
      <c r="C7" s="131"/>
      <c r="D7" s="132" t="s">
        <v>144</v>
      </c>
      <c r="E7" s="132" t="s">
        <v>145</v>
      </c>
      <c r="F7" s="132" t="s">
        <v>146</v>
      </c>
      <c r="G7" s="132" t="s">
        <v>147</v>
      </c>
      <c r="H7" s="132" t="s">
        <v>148</v>
      </c>
    </row>
    <row r="8" spans="1:13" ht="18.75" x14ac:dyDescent="0.3">
      <c r="B8" s="74"/>
      <c r="C8" s="133" t="s">
        <v>149</v>
      </c>
      <c r="D8" s="134">
        <v>51695326</v>
      </c>
      <c r="E8" s="135">
        <v>0</v>
      </c>
      <c r="F8" s="135">
        <v>0</v>
      </c>
      <c r="G8" s="136">
        <v>18555016.600000001</v>
      </c>
      <c r="H8" s="136">
        <v>70250342.599999994</v>
      </c>
      <c r="I8" s="22"/>
    </row>
    <row r="9" spans="1:13" customFormat="1" ht="18.75" x14ac:dyDescent="0.3">
      <c r="A9" s="28"/>
      <c r="B9" s="92"/>
      <c r="C9" s="131" t="s">
        <v>150</v>
      </c>
      <c r="D9" s="135"/>
      <c r="E9" s="135">
        <v>0</v>
      </c>
      <c r="F9" s="135"/>
      <c r="G9" s="135"/>
      <c r="H9" s="135">
        <f>SUM(D9,E9,F9,G9)</f>
        <v>0</v>
      </c>
      <c r="I9" s="28"/>
    </row>
    <row r="10" spans="1:13" customFormat="1" ht="18.75" x14ac:dyDescent="0.3">
      <c r="A10" s="28"/>
      <c r="B10" s="92"/>
      <c r="C10" s="131" t="s">
        <v>151</v>
      </c>
      <c r="D10" s="135"/>
      <c r="E10" s="135"/>
      <c r="F10" s="135" t="s">
        <v>40</v>
      </c>
      <c r="G10" s="135"/>
      <c r="H10" s="135"/>
      <c r="I10" s="28"/>
    </row>
    <row r="11" spans="1:13" ht="18.75" x14ac:dyDescent="0.3">
      <c r="B11" s="74"/>
      <c r="C11" s="131" t="s">
        <v>152</v>
      </c>
      <c r="D11" s="134"/>
      <c r="E11" s="135"/>
      <c r="F11" s="135"/>
      <c r="G11" s="136">
        <v>1955638</v>
      </c>
      <c r="H11" s="136">
        <v>1955638</v>
      </c>
      <c r="I11" s="22"/>
      <c r="J11" s="33"/>
    </row>
    <row r="12" spans="1:13" ht="18.75" x14ac:dyDescent="0.3">
      <c r="B12" s="74"/>
      <c r="C12" s="131" t="s">
        <v>153</v>
      </c>
      <c r="D12" s="134"/>
      <c r="E12" s="135"/>
      <c r="F12" s="135"/>
      <c r="G12" s="136">
        <v>6791271.6200000001</v>
      </c>
      <c r="H12" s="136">
        <f>SUM(D12,E12,F12,G12)</f>
        <v>6791271.6200000001</v>
      </c>
      <c r="I12" s="22"/>
    </row>
    <row r="13" spans="1:13" ht="18.75" x14ac:dyDescent="0.3">
      <c r="B13" s="74"/>
      <c r="C13" s="133" t="s">
        <v>154</v>
      </c>
      <c r="D13" s="137">
        <f>SUM(D8:D12)</f>
        <v>51695326</v>
      </c>
      <c r="E13" s="137">
        <f>SUM(E8:E12)</f>
        <v>0</v>
      </c>
      <c r="F13" s="137">
        <f>SUM(F8:F12)</f>
        <v>0</v>
      </c>
      <c r="G13" s="138">
        <f>SUM(G8:G12)</f>
        <v>27301926.220000003</v>
      </c>
      <c r="H13" s="138">
        <f>SUM(H8:H12)</f>
        <v>78997252.219999999</v>
      </c>
      <c r="I13" s="22"/>
      <c r="K13" s="33"/>
      <c r="M13" s="33"/>
    </row>
    <row r="14" spans="1:13" ht="18.75" hidden="1" x14ac:dyDescent="0.3">
      <c r="B14" s="74"/>
      <c r="C14" s="139" t="s">
        <v>40</v>
      </c>
      <c r="D14" s="140">
        <f>SUM(D9:D13)</f>
        <v>51695326</v>
      </c>
      <c r="E14" s="88"/>
      <c r="F14" s="141"/>
      <c r="G14" s="78">
        <v>39052659</v>
      </c>
      <c r="H14" s="142">
        <f>D14+F14+G14</f>
        <v>90747985</v>
      </c>
      <c r="I14" s="22"/>
      <c r="J14" s="33"/>
      <c r="K14" s="33"/>
    </row>
    <row r="15" spans="1:13" customFormat="1" ht="18.75" x14ac:dyDescent="0.3">
      <c r="A15" s="28"/>
      <c r="B15" s="92"/>
      <c r="C15" s="143" t="s">
        <v>150</v>
      </c>
      <c r="D15" s="135"/>
      <c r="E15" s="135">
        <v>0</v>
      </c>
      <c r="F15" s="135"/>
      <c r="G15" s="135"/>
      <c r="H15" s="135">
        <f>SUM(D15,E15,F15,G15)</f>
        <v>0</v>
      </c>
      <c r="I15" s="28"/>
      <c r="K15" s="102"/>
      <c r="M15" s="102"/>
    </row>
    <row r="16" spans="1:13" customFormat="1" ht="18.75" x14ac:dyDescent="0.3">
      <c r="A16" s="28"/>
      <c r="B16" s="92"/>
      <c r="C16" s="143" t="s">
        <v>151</v>
      </c>
      <c r="D16" s="135"/>
      <c r="E16" s="135"/>
      <c r="F16" s="135">
        <v>0</v>
      </c>
      <c r="G16" s="135"/>
      <c r="H16" s="135">
        <f>SUM(D16,E16,F16,G16)</f>
        <v>0</v>
      </c>
      <c r="I16" s="28"/>
    </row>
    <row r="17" spans="1:14" customFormat="1" ht="37.5" x14ac:dyDescent="0.3">
      <c r="A17" s="28"/>
      <c r="B17" s="92"/>
      <c r="C17" s="144" t="s">
        <v>155</v>
      </c>
      <c r="D17" s="135"/>
      <c r="E17" s="135"/>
      <c r="F17" s="135">
        <v>0</v>
      </c>
      <c r="G17" s="135"/>
      <c r="H17" s="135">
        <f>SUM(D17,E17,F17,G17)</f>
        <v>0</v>
      </c>
      <c r="I17" s="22"/>
      <c r="J17" s="121"/>
      <c r="K17" s="102"/>
    </row>
    <row r="18" spans="1:14" ht="18.75" x14ac:dyDescent="0.3">
      <c r="B18" s="74"/>
      <c r="C18" s="143" t="s">
        <v>152</v>
      </c>
      <c r="D18" s="135"/>
      <c r="E18" s="135"/>
      <c r="F18" s="135"/>
      <c r="G18" s="136">
        <v>1925877.63</v>
      </c>
      <c r="H18" s="136">
        <v>1925877.63</v>
      </c>
      <c r="I18" s="22">
        <f>+'[2]ESF - Situación Financiera'!F41-'[2]ESF - Situación Financiera'!F72</f>
        <v>0</v>
      </c>
      <c r="J18" s="56"/>
      <c r="K18" s="33"/>
      <c r="N18" s="145"/>
    </row>
    <row r="19" spans="1:14" ht="18.75" x14ac:dyDescent="0.3">
      <c r="B19" s="74"/>
      <c r="C19" s="143" t="s">
        <v>153</v>
      </c>
      <c r="D19" s="135"/>
      <c r="E19" s="135"/>
      <c r="F19" s="135"/>
      <c r="G19" s="136">
        <f>'[2] ERF-Rendimiento Financiero'!F29</f>
        <v>-258799.44999999925</v>
      </c>
      <c r="H19" s="136">
        <f>SUM(D19,E19,F19,G19)</f>
        <v>-258799.44999999925</v>
      </c>
      <c r="I19" s="32"/>
      <c r="J19" s="56"/>
      <c r="K19" s="145"/>
      <c r="L19" s="145"/>
    </row>
    <row r="20" spans="1:14" ht="18.75" x14ac:dyDescent="0.25">
      <c r="B20" s="77"/>
      <c r="C20" s="133" t="s">
        <v>156</v>
      </c>
      <c r="D20" s="138">
        <f>D14+D18</f>
        <v>51695326</v>
      </c>
      <c r="E20" s="138">
        <f>SUM(E19,E13)</f>
        <v>0</v>
      </c>
      <c r="F20" s="138">
        <f>SUM(F19,F13)</f>
        <v>0</v>
      </c>
      <c r="G20" s="138">
        <f>G13+G15+G16+G17+G18+G19</f>
        <v>28969004.400000002</v>
      </c>
      <c r="H20" s="138">
        <f>H13+H15+H16+H17+H18+H19</f>
        <v>80664330.399999991</v>
      </c>
      <c r="I20" s="40"/>
      <c r="K20" s="33"/>
      <c r="M20" s="33"/>
    </row>
    <row r="21" spans="1:14" ht="18.75" x14ac:dyDescent="0.3">
      <c r="B21" s="77"/>
      <c r="C21" s="74"/>
      <c r="D21" s="88"/>
      <c r="E21" s="88"/>
      <c r="F21" s="88"/>
      <c r="G21" s="78"/>
      <c r="H21" s="119"/>
      <c r="I21" s="22"/>
      <c r="K21" s="33"/>
    </row>
    <row r="22" spans="1:14" ht="18.75" x14ac:dyDescent="0.25">
      <c r="B22" s="74"/>
      <c r="C22" s="74"/>
      <c r="D22" s="74"/>
      <c r="E22" s="74"/>
      <c r="F22" s="74"/>
      <c r="G22" s="78"/>
      <c r="H22" s="26"/>
      <c r="I22" s="40"/>
      <c r="J22" s="33"/>
      <c r="L22" s="33"/>
    </row>
    <row r="23" spans="1:14" ht="18.75" hidden="1" x14ac:dyDescent="0.3">
      <c r="B23" s="74"/>
      <c r="C23" s="74" t="s">
        <v>157</v>
      </c>
      <c r="D23" s="74"/>
      <c r="E23" s="74"/>
      <c r="F23" s="92"/>
      <c r="G23" s="78"/>
      <c r="H23" s="93"/>
    </row>
    <row r="24" spans="1:14" ht="18.75" x14ac:dyDescent="0.3">
      <c r="B24" s="74"/>
      <c r="C24" s="74"/>
      <c r="D24" s="92"/>
      <c r="E24" s="92"/>
      <c r="F24" s="92"/>
      <c r="G24" s="78"/>
      <c r="H24" s="74"/>
    </row>
    <row r="25" spans="1:14" ht="18.75" x14ac:dyDescent="0.3">
      <c r="B25" s="74"/>
      <c r="C25" s="74"/>
      <c r="D25" s="92"/>
      <c r="E25" s="92"/>
      <c r="F25" s="92"/>
      <c r="G25" s="78"/>
      <c r="H25" s="119"/>
    </row>
    <row r="26" spans="1:14" ht="18.75" hidden="1" x14ac:dyDescent="0.25">
      <c r="B26" s="74"/>
      <c r="C26" s="128" t="s">
        <v>89</v>
      </c>
      <c r="D26" s="128"/>
      <c r="E26" s="128"/>
      <c r="F26" s="128"/>
      <c r="G26" s="128"/>
      <c r="H26" s="128"/>
    </row>
    <row r="27" spans="1:14" ht="18.75" x14ac:dyDescent="0.25">
      <c r="A27" s="8" t="s">
        <v>87</v>
      </c>
      <c r="B27" s="8"/>
      <c r="C27" s="8"/>
      <c r="D27" s="8"/>
      <c r="E27" s="8"/>
      <c r="F27" s="8"/>
      <c r="G27" s="8"/>
      <c r="H27" s="8"/>
      <c r="I27" s="8"/>
    </row>
    <row r="28" spans="1:14" ht="18.75" x14ac:dyDescent="0.25">
      <c r="A28" s="127" t="s">
        <v>88</v>
      </c>
      <c r="B28" s="127"/>
      <c r="C28" s="127"/>
      <c r="D28" s="127"/>
      <c r="E28" s="127"/>
      <c r="F28" s="127"/>
      <c r="G28" s="127"/>
      <c r="H28" s="127"/>
      <c r="I28" s="127"/>
    </row>
    <row r="29" spans="1:14" ht="18.75" hidden="1" x14ac:dyDescent="0.3">
      <c r="B29" s="74"/>
      <c r="C29" s="128" t="s">
        <v>158</v>
      </c>
      <c r="D29" s="128"/>
      <c r="E29" s="92"/>
      <c r="F29" s="92"/>
      <c r="G29" s="128" t="s">
        <v>159</v>
      </c>
      <c r="H29" s="128"/>
    </row>
    <row r="30" spans="1:14" ht="18.75" x14ac:dyDescent="0.3">
      <c r="B30" s="74"/>
      <c r="C30" s="74"/>
      <c r="D30" s="92"/>
      <c r="E30" s="92"/>
      <c r="F30" s="92"/>
      <c r="G30" s="74"/>
      <c r="H30" s="74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4294967293" verticalDpi="300" r:id="rId1"/>
  <rowBreaks count="1" manualBreakCount="1">
    <brk id="31" min="1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472A-1923-45C0-AE58-EC69EB6A70E1}">
  <sheetPr filterMode="1"/>
  <dimension ref="A1:AA88"/>
  <sheetViews>
    <sheetView view="pageBreakPreview" topLeftCell="A9" zoomScale="60" workbookViewId="0">
      <selection activeCell="R62" sqref="R62"/>
    </sheetView>
  </sheetViews>
  <sheetFormatPr baseColWidth="10" defaultColWidth="11.42578125" defaultRowHeight="18.75" x14ac:dyDescent="0.25"/>
  <cols>
    <col min="1" max="1" width="92.140625" style="74" customWidth="1"/>
    <col min="2" max="2" width="30.7109375" style="2" hidden="1" customWidth="1"/>
    <col min="3" max="3" width="21" style="74" customWidth="1"/>
    <col min="4" max="4" width="4.28515625" style="2" hidden="1" customWidth="1"/>
    <col min="5" max="5" width="21.140625" style="2" hidden="1" customWidth="1"/>
    <col min="6" max="6" width="2.7109375" style="2" hidden="1" customWidth="1"/>
    <col min="7" max="7" width="19.5703125" style="2" hidden="1" customWidth="1"/>
    <col min="8" max="8" width="12.5703125" style="2" hidden="1" customWidth="1"/>
    <col min="9" max="9" width="21.140625" style="2" hidden="1" customWidth="1"/>
    <col min="10" max="10" width="20.140625" style="2" hidden="1" customWidth="1"/>
    <col min="11" max="12" width="20.140625" style="3" hidden="1" customWidth="1"/>
    <col min="13" max="13" width="16.5703125" style="3" hidden="1" customWidth="1"/>
    <col min="14" max="14" width="20.140625" style="3" hidden="1" customWidth="1"/>
    <col min="15" max="15" width="17" style="3" hidden="1" customWidth="1"/>
    <col min="16" max="16" width="22" style="3" bestFit="1" customWidth="1"/>
    <col min="17" max="17" width="15.85546875" style="3" bestFit="1" customWidth="1"/>
    <col min="18" max="18" width="16.140625" style="3" bestFit="1" customWidth="1"/>
    <col min="19" max="19" width="52.5703125" style="3" bestFit="1" customWidth="1"/>
    <col min="20" max="23" width="11.42578125" style="3"/>
    <col min="24" max="24" width="15.85546875" style="3" bestFit="1" customWidth="1"/>
    <col min="25" max="25" width="11.42578125" style="3"/>
    <col min="26" max="26" width="15.85546875" style="3" bestFit="1" customWidth="1"/>
    <col min="27" max="27" width="13" style="3" bestFit="1" customWidth="1"/>
    <col min="28" max="16384" width="11.42578125" style="3"/>
  </cols>
  <sheetData>
    <row r="1" spans="1:17" ht="120.75" customHeight="1" x14ac:dyDescent="0.3">
      <c r="A1" s="5" t="str">
        <f>'[4]Flujo de Efectivo'!A2</f>
        <v>Estado de Flujo de Efectivo</v>
      </c>
      <c r="B1" s="8"/>
      <c r="C1" s="5"/>
      <c r="D1" s="8"/>
      <c r="E1" s="8"/>
      <c r="F1" s="74"/>
    </row>
    <row r="2" spans="1:17" x14ac:dyDescent="0.3">
      <c r="A2" s="5" t="s">
        <v>90</v>
      </c>
      <c r="B2" s="8"/>
      <c r="C2" s="5"/>
      <c r="D2" s="8"/>
      <c r="E2" s="8"/>
      <c r="F2" s="74"/>
    </row>
    <row r="3" spans="1:17" x14ac:dyDescent="0.3">
      <c r="A3" s="5" t="str">
        <f>'[4]Flujo de Efectivo'!A4</f>
        <v>(Valores en RD$)</v>
      </c>
      <c r="B3" s="8"/>
      <c r="C3" s="5"/>
      <c r="D3" s="8"/>
      <c r="E3" s="8"/>
      <c r="F3" s="74"/>
    </row>
    <row r="4" spans="1:17" ht="14.25" customHeight="1" thickBot="1" x14ac:dyDescent="0.3">
      <c r="A4" s="77"/>
      <c r="B4" s="77"/>
      <c r="C4" s="78"/>
      <c r="D4" s="78"/>
      <c r="E4" s="74"/>
      <c r="F4" s="74"/>
    </row>
    <row r="5" spans="1:17" ht="19.5" thickBot="1" x14ac:dyDescent="0.3">
      <c r="B5" s="74"/>
      <c r="C5" s="79"/>
      <c r="D5" s="79"/>
      <c r="E5" s="79">
        <f>+'[1]BC Balance Comprobación'!F11</f>
        <v>2021</v>
      </c>
      <c r="F5" s="74"/>
      <c r="G5" s="80">
        <v>44197</v>
      </c>
      <c r="I5" s="81">
        <v>44228</v>
      </c>
      <c r="J5" s="82">
        <v>44256</v>
      </c>
      <c r="K5" s="82">
        <v>44287</v>
      </c>
      <c r="L5" s="82">
        <v>44317</v>
      </c>
    </row>
    <row r="6" spans="1:17" x14ac:dyDescent="0.25">
      <c r="A6" s="83" t="s">
        <v>91</v>
      </c>
      <c r="B6" s="83"/>
      <c r="C6" s="84"/>
      <c r="D6" s="84"/>
      <c r="E6" s="85"/>
      <c r="F6" s="74"/>
      <c r="H6" s="22"/>
      <c r="J6" s="86"/>
      <c r="K6" s="86"/>
      <c r="P6" s="63"/>
    </row>
    <row r="7" spans="1:17" customFormat="1" hidden="1" x14ac:dyDescent="0.3">
      <c r="A7" s="87" t="s">
        <v>92</v>
      </c>
      <c r="B7" s="87"/>
      <c r="C7" s="26">
        <v>0</v>
      </c>
      <c r="D7" s="26"/>
      <c r="E7" s="26">
        <v>0</v>
      </c>
      <c r="F7" s="28"/>
      <c r="G7" s="88"/>
      <c r="H7" s="26">
        <f t="shared" ref="H7:H14" si="0">+C7+E7</f>
        <v>0</v>
      </c>
      <c r="I7" s="28"/>
      <c r="J7" s="28"/>
    </row>
    <row r="8" spans="1:17" customFormat="1" hidden="1" x14ac:dyDescent="0.25">
      <c r="A8" s="87" t="s">
        <v>93</v>
      </c>
      <c r="B8" s="87"/>
      <c r="C8" s="26">
        <v>0</v>
      </c>
      <c r="D8" s="26"/>
      <c r="E8" s="26">
        <v>0</v>
      </c>
      <c r="F8" s="28"/>
      <c r="G8" s="89"/>
      <c r="H8" s="26">
        <f t="shared" si="0"/>
        <v>0</v>
      </c>
      <c r="I8" s="28"/>
      <c r="J8" s="28"/>
      <c r="O8" s="1">
        <v>97913476.890000001</v>
      </c>
      <c r="P8" s="1"/>
    </row>
    <row r="9" spans="1:17" customFormat="1" x14ac:dyDescent="0.3">
      <c r="A9" s="90" t="s">
        <v>94</v>
      </c>
      <c r="B9" s="88"/>
      <c r="C9" s="88">
        <f>'[2] ERF-Rendimiento Financiero'!F8</f>
        <v>3630000</v>
      </c>
      <c r="D9" s="91"/>
      <c r="E9" s="88">
        <f>'[1]BC Balance Comprobación'!M37</f>
        <v>0</v>
      </c>
      <c r="F9" s="92"/>
      <c r="G9" s="88">
        <v>250000</v>
      </c>
      <c r="H9" s="26">
        <f t="shared" si="0"/>
        <v>3630000</v>
      </c>
      <c r="I9" s="93">
        <f>-'[5]BC Balance Comprobación'!J37</f>
        <v>1430000</v>
      </c>
      <c r="J9" s="93">
        <v>925000</v>
      </c>
      <c r="K9" s="93">
        <v>5470000</v>
      </c>
      <c r="M9" s="94">
        <f>+G9+I9+J9+K9</f>
        <v>8075000</v>
      </c>
      <c r="O9" s="1">
        <v>96320160.819999993</v>
      </c>
      <c r="P9" s="1"/>
      <c r="Q9" s="1"/>
    </row>
    <row r="10" spans="1:17" x14ac:dyDescent="0.25">
      <c r="A10" s="90" t="s">
        <v>95</v>
      </c>
      <c r="B10" s="89"/>
      <c r="C10" s="89">
        <f>'[2] ERF-Rendimiento Financiero'!F9+'[2] ERF-Rendimiento Financiero'!F11</f>
        <v>13047699.48</v>
      </c>
      <c r="D10" s="95"/>
      <c r="E10" s="78">
        <f>'[1]BC Balance Comprobación'!M38</f>
        <v>0</v>
      </c>
      <c r="F10" s="74"/>
      <c r="G10" s="89">
        <v>12775551</v>
      </c>
      <c r="H10" s="22">
        <f t="shared" si="0"/>
        <v>13047699.48</v>
      </c>
      <c r="I10" s="93">
        <f>-'[5]BC Balance Comprobación'!J38</f>
        <v>22060869</v>
      </c>
      <c r="J10" s="93">
        <v>13121616.66</v>
      </c>
      <c r="K10" s="93">
        <v>18001583</v>
      </c>
      <c r="L10" s="93">
        <v>14704462</v>
      </c>
      <c r="M10" s="56">
        <f>+C10+G10+I10+J10+K10+L10</f>
        <v>93711781.140000001</v>
      </c>
      <c r="O10" s="63">
        <f>+O8-O9</f>
        <v>1593316.0700000077</v>
      </c>
      <c r="P10" s="63"/>
    </row>
    <row r="11" spans="1:17" customFormat="1" hidden="1" x14ac:dyDescent="0.25">
      <c r="A11" s="87" t="s">
        <v>96</v>
      </c>
      <c r="B11" s="87">
        <v>79000</v>
      </c>
      <c r="C11" s="96"/>
      <c r="D11" s="96"/>
      <c r="E11" s="26">
        <v>0</v>
      </c>
      <c r="F11" s="28"/>
      <c r="G11" s="96"/>
      <c r="H11" s="26">
        <f t="shared" si="0"/>
        <v>0</v>
      </c>
      <c r="I11" s="93"/>
      <c r="J11" s="28"/>
    </row>
    <row r="12" spans="1:17" customFormat="1" hidden="1" x14ac:dyDescent="0.3">
      <c r="A12" s="87" t="s">
        <v>97</v>
      </c>
      <c r="B12" s="87"/>
      <c r="C12" s="96">
        <v>0</v>
      </c>
      <c r="D12" s="96"/>
      <c r="E12" s="26"/>
      <c r="F12" s="28"/>
      <c r="G12" s="97"/>
      <c r="H12" s="26">
        <f t="shared" si="0"/>
        <v>0</v>
      </c>
      <c r="I12" s="93"/>
      <c r="J12" s="28"/>
    </row>
    <row r="13" spans="1:17" customFormat="1" hidden="1" x14ac:dyDescent="0.3">
      <c r="A13" s="87" t="s">
        <v>98</v>
      </c>
      <c r="B13" s="87">
        <v>-6923283.4199999999</v>
      </c>
      <c r="C13" s="96">
        <v>0</v>
      </c>
      <c r="D13" s="96"/>
      <c r="E13" s="26">
        <v>0</v>
      </c>
      <c r="F13" s="28"/>
      <c r="G13" s="88"/>
      <c r="H13" s="26">
        <f t="shared" si="0"/>
        <v>0</v>
      </c>
      <c r="I13" s="93"/>
      <c r="J13" s="28"/>
      <c r="K13" s="1"/>
      <c r="O13" s="94">
        <f>+M17+M18+M20</f>
        <v>-89279552.090000004</v>
      </c>
    </row>
    <row r="14" spans="1:17" customFormat="1" x14ac:dyDescent="0.3">
      <c r="A14" s="90" t="s">
        <v>99</v>
      </c>
      <c r="B14" s="97"/>
      <c r="C14" s="97">
        <f>-'[2]BC Balance Comprobación'!D42</f>
        <v>0</v>
      </c>
      <c r="D14" s="98"/>
      <c r="E14" s="88">
        <f>'[1]BC Balance Comprobación'!M39</f>
        <v>0</v>
      </c>
      <c r="F14" s="92"/>
      <c r="G14" s="26"/>
      <c r="H14" s="26">
        <f t="shared" si="0"/>
        <v>0</v>
      </c>
      <c r="I14" s="93">
        <v>9000</v>
      </c>
      <c r="J14" s="93">
        <v>6000</v>
      </c>
      <c r="K14" s="93">
        <v>15000</v>
      </c>
      <c r="M14" s="94">
        <f>+I14+J14+K14</f>
        <v>30000</v>
      </c>
      <c r="O14" s="94">
        <f>+O8+O13-P8</f>
        <v>8633924.799999997</v>
      </c>
      <c r="P14" s="1"/>
    </row>
    <row r="15" spans="1:17" customFormat="1" x14ac:dyDescent="0.3">
      <c r="A15" s="99"/>
      <c r="B15" s="88"/>
      <c r="C15" s="88"/>
      <c r="D15" s="91"/>
      <c r="E15" s="88"/>
      <c r="F15" s="92"/>
      <c r="G15" s="78"/>
      <c r="H15" s="26"/>
      <c r="I15" s="93"/>
      <c r="J15" s="28"/>
      <c r="P15" s="1"/>
    </row>
    <row r="16" spans="1:17" customFormat="1" x14ac:dyDescent="0.3">
      <c r="A16" s="90" t="s">
        <v>100</v>
      </c>
      <c r="B16" s="87">
        <v>0</v>
      </c>
      <c r="C16" s="78">
        <f>-'[2]BC Balance Comprobación'!D165</f>
        <v>-86605</v>
      </c>
      <c r="D16" s="26"/>
      <c r="E16" s="26">
        <v>0</v>
      </c>
      <c r="F16" s="28"/>
      <c r="G16" s="88"/>
      <c r="H16" s="26">
        <f t="shared" ref="H16:H23" si="1">+C16+E16</f>
        <v>-86605</v>
      </c>
      <c r="I16" s="93"/>
      <c r="J16" s="28"/>
      <c r="P16" s="94"/>
    </row>
    <row r="17" spans="1:21" x14ac:dyDescent="0.3">
      <c r="A17" s="90" t="s">
        <v>101</v>
      </c>
      <c r="B17" s="78"/>
      <c r="C17" s="78">
        <f>-'[2]BC Balance Comprobación'!D47-'[2]BC Balance Comprobación'!D48-'[2]BC Balance Comprobación'!D49-'[2]BC Balance Comprobación'!D55-'[2]BC Balance Comprobación'!D56</f>
        <v>-10624980.73</v>
      </c>
      <c r="D17" s="100"/>
      <c r="E17" s="78">
        <v>-83368429</v>
      </c>
      <c r="F17" s="74"/>
      <c r="G17" s="88">
        <v>-5376484.4800000004</v>
      </c>
      <c r="H17" s="22">
        <f t="shared" si="1"/>
        <v>-93993409.730000004</v>
      </c>
      <c r="I17" s="93">
        <v>-10647791.65</v>
      </c>
      <c r="J17" s="93">
        <v>-9167463.0500000007</v>
      </c>
      <c r="K17" s="93">
        <v>-8447211.75</v>
      </c>
      <c r="L17" s="93">
        <v>-7744007.1299999999</v>
      </c>
      <c r="M17" s="56">
        <f>+C17+G17+I17+J17+K17+L17</f>
        <v>-52007938.789999999</v>
      </c>
      <c r="Q17" s="33"/>
      <c r="R17" s="56"/>
      <c r="S17" s="56"/>
    </row>
    <row r="18" spans="1:21" customFormat="1" x14ac:dyDescent="0.3">
      <c r="A18" s="90" t="s">
        <v>102</v>
      </c>
      <c r="B18" s="88"/>
      <c r="C18" s="88">
        <f>-'[2]BC Balance Comprobación'!D61-'[2]BC Balance Comprobación'!D62-'[2]BC Balance Comprobación'!D63</f>
        <v>0</v>
      </c>
      <c r="D18" s="91"/>
      <c r="E18" s="88">
        <v>-8951787</v>
      </c>
      <c r="F18" s="92"/>
      <c r="G18" s="88">
        <v>-698885.18</v>
      </c>
      <c r="H18" s="26">
        <f t="shared" si="1"/>
        <v>-8951787</v>
      </c>
      <c r="I18" s="93">
        <v>-1473063.08</v>
      </c>
      <c r="J18" s="93">
        <v>-1509455.22</v>
      </c>
      <c r="K18" s="93">
        <v>-1173946</v>
      </c>
      <c r="L18" s="93">
        <v>-1076106.99</v>
      </c>
      <c r="M18" s="101">
        <f>+C18+G18+J18+K18+L18</f>
        <v>-4458393.3899999997</v>
      </c>
      <c r="R18" s="102"/>
      <c r="S18" s="102"/>
    </row>
    <row r="19" spans="1:21" customFormat="1" hidden="1" x14ac:dyDescent="0.3">
      <c r="A19" s="87" t="s">
        <v>103</v>
      </c>
      <c r="B19" s="87"/>
      <c r="C19" s="88">
        <f>-'[1]BC Balance Comprobación'!V3</f>
        <v>0</v>
      </c>
      <c r="D19" s="26"/>
      <c r="E19" s="26">
        <v>0</v>
      </c>
      <c r="F19" s="28"/>
      <c r="G19" s="26"/>
      <c r="H19" s="26">
        <f t="shared" si="1"/>
        <v>0</v>
      </c>
      <c r="I19" s="93">
        <v>0</v>
      </c>
      <c r="J19" s="93">
        <v>0</v>
      </c>
      <c r="K19" s="93">
        <v>0</v>
      </c>
      <c r="L19" s="93">
        <v>0</v>
      </c>
      <c r="S19" s="102"/>
    </row>
    <row r="20" spans="1:21" x14ac:dyDescent="0.3">
      <c r="A20" s="90" t="s">
        <v>104</v>
      </c>
      <c r="B20" s="78"/>
      <c r="C20" s="88">
        <f>-'[2]BC Balance Comprobación'!D66-'[2]BC Balance Comprobación'!D110-4151316.61</f>
        <v>-8746333.4299999997</v>
      </c>
      <c r="D20" s="100"/>
      <c r="E20" s="78">
        <v>-60758429</v>
      </c>
      <c r="F20" s="74"/>
      <c r="G20" s="26">
        <v>-65427</v>
      </c>
      <c r="H20" s="22">
        <f t="shared" si="1"/>
        <v>-69504762.430000007</v>
      </c>
      <c r="I20" s="93">
        <v>-7392769.4500000002</v>
      </c>
      <c r="J20" s="93">
        <v>-4770136.2300000004</v>
      </c>
      <c r="K20" s="93">
        <v>-8662082.6600000001</v>
      </c>
      <c r="L20" s="93">
        <v>-3176471.1399999997</v>
      </c>
      <c r="M20" s="33">
        <f>+C20+G20+I20+J20+K20+L20</f>
        <v>-32813219.91</v>
      </c>
      <c r="P20" s="33"/>
      <c r="R20" s="33"/>
    </row>
    <row r="21" spans="1:21" customFormat="1" hidden="1" x14ac:dyDescent="0.25">
      <c r="A21" s="87" t="s">
        <v>105</v>
      </c>
      <c r="B21" s="87"/>
      <c r="C21" s="26">
        <v>0</v>
      </c>
      <c r="D21" s="26"/>
      <c r="E21" s="26">
        <v>0</v>
      </c>
      <c r="F21" s="28"/>
      <c r="G21" s="78"/>
      <c r="H21" s="26">
        <f t="shared" si="1"/>
        <v>0</v>
      </c>
      <c r="I21" s="93"/>
      <c r="J21" s="28"/>
      <c r="Q21" s="102"/>
    </row>
    <row r="22" spans="1:21" customFormat="1" hidden="1" x14ac:dyDescent="0.25">
      <c r="A22" s="87" t="s">
        <v>106</v>
      </c>
      <c r="B22" s="87">
        <v>-288795</v>
      </c>
      <c r="C22" s="26">
        <v>0</v>
      </c>
      <c r="D22" s="26"/>
      <c r="E22" s="26">
        <v>0</v>
      </c>
      <c r="F22" s="28"/>
      <c r="G22" s="78"/>
      <c r="H22" s="26">
        <f t="shared" si="1"/>
        <v>0</v>
      </c>
      <c r="I22" s="93"/>
      <c r="J22" s="28"/>
      <c r="M22" s="101"/>
      <c r="S22" s="102"/>
    </row>
    <row r="23" spans="1:21" hidden="1" x14ac:dyDescent="0.25">
      <c r="A23" s="90" t="s">
        <v>107</v>
      </c>
      <c r="B23" s="78"/>
      <c r="C23" s="78"/>
      <c r="D23" s="100"/>
      <c r="E23" s="78">
        <v>-8548025</v>
      </c>
      <c r="F23" s="103"/>
      <c r="G23" s="78"/>
      <c r="H23" s="22">
        <f t="shared" si="1"/>
        <v>-8548025</v>
      </c>
      <c r="I23" s="93"/>
      <c r="U23" s="33"/>
    </row>
    <row r="24" spans="1:21" hidden="1" x14ac:dyDescent="0.25">
      <c r="A24" s="90"/>
      <c r="B24" s="78"/>
      <c r="C24" s="78"/>
      <c r="D24" s="100"/>
      <c r="E24" s="78"/>
      <c r="F24" s="103"/>
      <c r="G24" s="100"/>
      <c r="H24" s="22"/>
      <c r="I24" s="93"/>
    </row>
    <row r="25" spans="1:21" ht="24.75" customHeight="1" x14ac:dyDescent="0.3">
      <c r="A25" s="90" t="s">
        <v>108</v>
      </c>
      <c r="B25" s="78"/>
      <c r="C25" s="78"/>
      <c r="D25" s="100"/>
      <c r="E25" s="78"/>
      <c r="F25" s="103"/>
      <c r="G25" s="88"/>
      <c r="H25" s="22"/>
      <c r="I25" s="93"/>
      <c r="Q25" s="63"/>
    </row>
    <row r="26" spans="1:21" x14ac:dyDescent="0.25">
      <c r="A26" s="104" t="s">
        <v>109</v>
      </c>
      <c r="B26" s="100"/>
      <c r="C26" s="100">
        <f>SUBTOTAL(9,C9:C25)</f>
        <v>-2780219.6799999997</v>
      </c>
      <c r="D26" s="100"/>
      <c r="E26" s="100">
        <f t="shared" ref="E26:L26" si="2">SUM(E7:E25)</f>
        <v>-161626670</v>
      </c>
      <c r="F26" s="100">
        <f t="shared" si="2"/>
        <v>0</v>
      </c>
      <c r="G26" s="100">
        <f t="shared" si="2"/>
        <v>6884754.3399999999</v>
      </c>
      <c r="H26" s="100">
        <f t="shared" si="2"/>
        <v>-164406889.68000001</v>
      </c>
      <c r="I26" s="100">
        <f t="shared" si="2"/>
        <v>3986244.8199999994</v>
      </c>
      <c r="J26" s="100">
        <f t="shared" si="2"/>
        <v>-1394437.8400000008</v>
      </c>
      <c r="K26" s="100">
        <f t="shared" si="2"/>
        <v>5203342.59</v>
      </c>
      <c r="L26" s="100">
        <f t="shared" si="2"/>
        <v>2707876.74</v>
      </c>
      <c r="P26" s="33"/>
      <c r="Q26" s="63"/>
    </row>
    <row r="27" spans="1:21" x14ac:dyDescent="0.3">
      <c r="A27" s="74" t="s">
        <v>40</v>
      </c>
      <c r="B27" s="78"/>
      <c r="C27" s="78"/>
      <c r="D27" s="100"/>
      <c r="E27" s="78"/>
      <c r="F27" s="74"/>
      <c r="G27" s="88"/>
      <c r="H27" s="2" t="s">
        <v>110</v>
      </c>
      <c r="I27" s="93"/>
      <c r="J27" s="105"/>
      <c r="P27" s="33"/>
      <c r="Q27" s="63"/>
    </row>
    <row r="28" spans="1:21" x14ac:dyDescent="0.25">
      <c r="A28" s="77" t="s">
        <v>111</v>
      </c>
      <c r="B28" s="106"/>
      <c r="C28" s="106"/>
      <c r="D28" s="107"/>
      <c r="E28" s="100"/>
      <c r="F28" s="74"/>
      <c r="G28" s="100"/>
      <c r="H28" s="22"/>
      <c r="I28" s="93"/>
    </row>
    <row r="29" spans="1:21" customFormat="1" hidden="1" x14ac:dyDescent="0.25">
      <c r="A29" s="87" t="s">
        <v>112</v>
      </c>
      <c r="B29" s="87">
        <v>44585</v>
      </c>
      <c r="C29" s="26">
        <v>0</v>
      </c>
      <c r="D29" s="26"/>
      <c r="E29" s="26">
        <v>0</v>
      </c>
      <c r="F29" s="28"/>
      <c r="G29" s="78">
        <v>-67114.9375</v>
      </c>
      <c r="H29" s="26">
        <f>+C29+E29</f>
        <v>0</v>
      </c>
      <c r="I29" s="93">
        <v>-460985.64999999997</v>
      </c>
      <c r="J29" s="93">
        <v>-2046096.781</v>
      </c>
      <c r="K29" s="78">
        <v>-1106252.8999999999</v>
      </c>
      <c r="L29" s="93">
        <v>-1989590.89</v>
      </c>
    </row>
    <row r="30" spans="1:21" customFormat="1" hidden="1" x14ac:dyDescent="0.25">
      <c r="A30" s="87" t="s">
        <v>113</v>
      </c>
      <c r="B30" s="87"/>
      <c r="C30" s="26">
        <v>0</v>
      </c>
      <c r="D30" s="26"/>
      <c r="E30" s="26">
        <v>0</v>
      </c>
      <c r="F30" s="28"/>
      <c r="G30" s="100"/>
      <c r="H30" s="26">
        <f>+C30+E30</f>
        <v>0</v>
      </c>
      <c r="I30" s="93"/>
      <c r="J30" s="28"/>
    </row>
    <row r="31" spans="1:21" customFormat="1" hidden="1" x14ac:dyDescent="0.25">
      <c r="A31" s="87" t="s">
        <v>114</v>
      </c>
      <c r="B31" s="87">
        <v>44585</v>
      </c>
      <c r="C31" s="26">
        <v>0</v>
      </c>
      <c r="D31" s="26"/>
      <c r="E31" s="26">
        <v>0</v>
      </c>
      <c r="F31" s="28"/>
      <c r="G31" s="26"/>
      <c r="H31" s="26">
        <f>+C31+E31</f>
        <v>0</v>
      </c>
      <c r="I31" s="108"/>
      <c r="J31" s="28"/>
    </row>
    <row r="32" spans="1:21" customFormat="1" hidden="1" x14ac:dyDescent="0.25">
      <c r="A32" s="87" t="s">
        <v>115</v>
      </c>
      <c r="B32" s="87"/>
      <c r="C32" s="26">
        <v>0</v>
      </c>
      <c r="D32" s="26"/>
      <c r="E32" s="26">
        <v>0</v>
      </c>
      <c r="F32" s="28"/>
      <c r="G32" s="26"/>
      <c r="H32" s="26">
        <f>+C32+E32</f>
        <v>0</v>
      </c>
      <c r="I32" s="78"/>
      <c r="J32" s="28"/>
    </row>
    <row r="33" spans="1:27" customFormat="1" hidden="1" x14ac:dyDescent="0.25">
      <c r="A33" s="87" t="s">
        <v>116</v>
      </c>
      <c r="B33" s="87">
        <v>3746146.709999999</v>
      </c>
      <c r="C33" s="26">
        <v>0</v>
      </c>
      <c r="D33" s="26"/>
      <c r="E33" s="26">
        <v>0</v>
      </c>
      <c r="F33" s="28"/>
      <c r="G33" s="26"/>
      <c r="H33" s="26">
        <f>+C33+E33</f>
        <v>0</v>
      </c>
      <c r="I33" s="100"/>
      <c r="J33" s="28"/>
    </row>
    <row r="34" spans="1:27" customFormat="1" hidden="1" x14ac:dyDescent="0.3">
      <c r="A34" s="90" t="s">
        <v>99</v>
      </c>
      <c r="B34" s="109"/>
      <c r="C34" s="78"/>
      <c r="D34" s="110"/>
      <c r="E34" s="88">
        <v>2699113</v>
      </c>
      <c r="F34" s="92"/>
      <c r="G34" s="26"/>
      <c r="H34" s="26" t="e">
        <f>+#REF!+E34</f>
        <v>#REF!</v>
      </c>
      <c r="I34" s="94"/>
      <c r="J34" s="28"/>
      <c r="Q34" s="94"/>
      <c r="S34" s="94"/>
    </row>
    <row r="35" spans="1:27" customFormat="1" x14ac:dyDescent="0.3">
      <c r="A35" s="99"/>
      <c r="B35" s="88"/>
      <c r="C35" s="88"/>
      <c r="D35" s="91"/>
      <c r="E35" s="88"/>
      <c r="F35" s="92"/>
      <c r="G35" s="78"/>
      <c r="H35" s="26"/>
      <c r="I35" s="26"/>
      <c r="J35" s="60"/>
      <c r="Q35" s="94"/>
      <c r="R35" s="94"/>
    </row>
    <row r="36" spans="1:27" x14ac:dyDescent="0.25">
      <c r="A36" s="90" t="s">
        <v>117</v>
      </c>
      <c r="B36" s="78"/>
      <c r="C36" s="78">
        <f>+[2]Sept!E40</f>
        <v>147992.03999999998</v>
      </c>
      <c r="D36" s="100"/>
      <c r="E36" s="78">
        <v>-12714328.18</v>
      </c>
      <c r="F36" s="74"/>
      <c r="H36" s="22">
        <f t="shared" ref="H36:H42" si="3">+C36+E36</f>
        <v>-12566336.140000001</v>
      </c>
      <c r="I36" s="26"/>
      <c r="J36" s="22"/>
      <c r="P36" s="33"/>
      <c r="Q36" s="56"/>
      <c r="R36" s="56"/>
      <c r="S36" s="111"/>
    </row>
    <row r="37" spans="1:27" ht="15" hidden="1" x14ac:dyDescent="0.25">
      <c r="A37" s="87" t="s">
        <v>118</v>
      </c>
      <c r="B37" s="87"/>
      <c r="C37" s="22"/>
      <c r="D37" s="22"/>
      <c r="E37" s="22"/>
      <c r="H37" s="22">
        <f t="shared" si="3"/>
        <v>0</v>
      </c>
      <c r="I37" s="26"/>
      <c r="R37" s="56">
        <v>7903734.4300000006</v>
      </c>
    </row>
    <row r="38" spans="1:27" customFormat="1" ht="15" hidden="1" x14ac:dyDescent="0.25">
      <c r="A38" s="87" t="s">
        <v>119</v>
      </c>
      <c r="B38" s="87"/>
      <c r="C38" s="26"/>
      <c r="D38" s="26"/>
      <c r="E38" s="26">
        <v>0</v>
      </c>
      <c r="F38" s="28"/>
      <c r="G38" s="2"/>
      <c r="H38" s="26">
        <f t="shared" si="3"/>
        <v>0</v>
      </c>
      <c r="I38" s="2"/>
      <c r="J38" s="28"/>
    </row>
    <row r="39" spans="1:27" customFormat="1" ht="15" hidden="1" x14ac:dyDescent="0.25">
      <c r="A39" s="87" t="s">
        <v>120</v>
      </c>
      <c r="B39" s="87"/>
      <c r="C39" s="26">
        <v>0</v>
      </c>
      <c r="D39" s="26"/>
      <c r="E39" s="26">
        <v>0</v>
      </c>
      <c r="F39" s="28"/>
      <c r="G39" s="2"/>
      <c r="H39" s="26">
        <f t="shared" si="3"/>
        <v>0</v>
      </c>
      <c r="I39" s="2"/>
      <c r="J39" s="28"/>
    </row>
    <row r="40" spans="1:27" customFormat="1" hidden="1" x14ac:dyDescent="0.25">
      <c r="A40" s="87" t="s">
        <v>121</v>
      </c>
      <c r="B40" s="87"/>
      <c r="C40" s="26">
        <v>0</v>
      </c>
      <c r="D40" s="26"/>
      <c r="E40" s="26">
        <v>0</v>
      </c>
      <c r="F40" s="28"/>
      <c r="G40" s="2"/>
      <c r="H40" s="26">
        <f t="shared" si="3"/>
        <v>0</v>
      </c>
      <c r="I40" s="93"/>
      <c r="J40" s="28"/>
    </row>
    <row r="41" spans="1:27" customFormat="1" x14ac:dyDescent="0.25">
      <c r="A41" s="90" t="s">
        <v>122</v>
      </c>
      <c r="B41" s="87"/>
      <c r="C41" s="78"/>
      <c r="D41" s="26"/>
      <c r="E41" s="26">
        <v>0</v>
      </c>
      <c r="F41" s="28"/>
      <c r="G41" s="2"/>
      <c r="H41" s="26">
        <f t="shared" si="3"/>
        <v>0</v>
      </c>
      <c r="I41" s="2"/>
      <c r="J41" s="28"/>
      <c r="S41" s="111"/>
    </row>
    <row r="42" spans="1:27" customFormat="1" ht="20.25" hidden="1" x14ac:dyDescent="0.3">
      <c r="A42" s="112" t="s">
        <v>123</v>
      </c>
      <c r="B42" s="88"/>
      <c r="C42" s="113"/>
      <c r="D42" s="91"/>
      <c r="E42" s="88">
        <v>-1029719</v>
      </c>
      <c r="F42" s="114"/>
      <c r="G42" s="2"/>
      <c r="H42" s="26">
        <f t="shared" si="3"/>
        <v>-1029719</v>
      </c>
      <c r="I42" s="2"/>
      <c r="J42" s="28"/>
      <c r="S42" s="94"/>
    </row>
    <row r="43" spans="1:27" customFormat="1" x14ac:dyDescent="0.3">
      <c r="A43" s="74"/>
      <c r="B43" s="88"/>
      <c r="C43" s="88"/>
      <c r="D43" s="91"/>
      <c r="E43" s="88"/>
      <c r="F43" s="114"/>
      <c r="G43" s="100"/>
      <c r="H43" s="26"/>
      <c r="I43" s="2"/>
      <c r="J43" s="28"/>
    </row>
    <row r="44" spans="1:27" x14ac:dyDescent="0.25">
      <c r="A44" s="104" t="s">
        <v>124</v>
      </c>
      <c r="B44" s="100"/>
      <c r="C44" s="100">
        <f>SUM(C29:C43)</f>
        <v>147992.03999999998</v>
      </c>
      <c r="D44" s="100"/>
      <c r="E44" s="100">
        <f t="shared" ref="E44:L44" si="4">SUM(E29:E43)</f>
        <v>-11044934.18</v>
      </c>
      <c r="F44" s="100">
        <f t="shared" si="4"/>
        <v>0</v>
      </c>
      <c r="G44" s="100">
        <f t="shared" si="4"/>
        <v>-67114.9375</v>
      </c>
      <c r="H44" s="100" t="e">
        <f t="shared" si="4"/>
        <v>#REF!</v>
      </c>
      <c r="I44" s="100">
        <f t="shared" si="4"/>
        <v>-460985.64999999997</v>
      </c>
      <c r="J44" s="100">
        <f t="shared" si="4"/>
        <v>-2046096.781</v>
      </c>
      <c r="K44" s="100">
        <f t="shared" si="4"/>
        <v>-1106252.8999999999</v>
      </c>
      <c r="L44" s="100">
        <f t="shared" si="4"/>
        <v>-1989590.89</v>
      </c>
    </row>
    <row r="45" spans="1:27" x14ac:dyDescent="0.25">
      <c r="B45" s="78"/>
      <c r="C45" s="78"/>
      <c r="D45" s="100"/>
      <c r="E45" s="78"/>
      <c r="F45" s="74"/>
      <c r="G45" s="78"/>
      <c r="J45" s="44"/>
      <c r="X45" s="63"/>
      <c r="Z45" s="63"/>
      <c r="AA45" s="56"/>
    </row>
    <row r="46" spans="1:27" customFormat="1" ht="21" x14ac:dyDescent="0.25">
      <c r="A46" s="115" t="s">
        <v>125</v>
      </c>
      <c r="B46" s="100"/>
      <c r="C46" s="100"/>
      <c r="D46" s="100"/>
      <c r="E46" s="78"/>
      <c r="F46" s="74"/>
      <c r="G46" s="116"/>
      <c r="H46" s="22">
        <f>+C46+E46</f>
        <v>0</v>
      </c>
      <c r="I46" s="100"/>
      <c r="J46" s="44"/>
      <c r="X46" s="1"/>
      <c r="Z46" s="1"/>
      <c r="AA46" s="1"/>
    </row>
    <row r="47" spans="1:27" customFormat="1" x14ac:dyDescent="0.3">
      <c r="A47" s="99" t="s">
        <v>126</v>
      </c>
      <c r="B47" s="87"/>
      <c r="C47" s="117"/>
      <c r="D47" s="26"/>
      <c r="E47" s="26">
        <v>0</v>
      </c>
      <c r="F47" s="28"/>
      <c r="G47" s="26">
        <v>6100158.8799999999</v>
      </c>
      <c r="H47">
        <f>+C47+E47</f>
        <v>0</v>
      </c>
      <c r="I47" s="94">
        <v>4301473.09</v>
      </c>
      <c r="J47" s="94">
        <v>1193664.42</v>
      </c>
      <c r="K47" s="94">
        <v>881693.84</v>
      </c>
      <c r="L47" s="60">
        <v>509254.51</v>
      </c>
      <c r="M47" s="94">
        <f>+G47+I47+J47+K47</f>
        <v>12476990.229999999</v>
      </c>
      <c r="P47" s="94"/>
      <c r="Q47" s="94"/>
      <c r="R47" s="1"/>
    </row>
    <row r="48" spans="1:27" customFormat="1" ht="15" hidden="1" x14ac:dyDescent="0.25">
      <c r="A48" s="87" t="s">
        <v>127</v>
      </c>
      <c r="B48" s="87"/>
      <c r="C48" s="26"/>
      <c r="D48" s="26"/>
      <c r="E48" s="26">
        <v>0</v>
      </c>
      <c r="F48" s="28"/>
      <c r="H48">
        <f>+C48+E48</f>
        <v>0</v>
      </c>
      <c r="J48" s="28"/>
      <c r="K48" s="94"/>
      <c r="L48" s="1"/>
      <c r="O48" s="94">
        <f>+C53+O53</f>
        <v>-5142475.3599999975</v>
      </c>
      <c r="Q48" s="94"/>
    </row>
    <row r="49" spans="1:21" customFormat="1" ht="15" hidden="1" x14ac:dyDescent="0.25">
      <c r="A49" s="87" t="s">
        <v>128</v>
      </c>
      <c r="B49" s="87"/>
      <c r="C49" s="26"/>
      <c r="D49" s="26"/>
      <c r="E49" s="26">
        <v>0</v>
      </c>
      <c r="F49" s="28"/>
      <c r="G49" s="26">
        <v>-14298087</v>
      </c>
      <c r="H49">
        <f>+C49+E49</f>
        <v>0</v>
      </c>
      <c r="J49" s="28"/>
      <c r="L49" s="1"/>
    </row>
    <row r="50" spans="1:21" customFormat="1" ht="15" hidden="1" x14ac:dyDescent="0.25">
      <c r="A50" s="118" t="s">
        <v>129</v>
      </c>
      <c r="B50" s="87"/>
      <c r="C50" s="26"/>
      <c r="D50" s="26"/>
      <c r="E50" s="26">
        <v>0</v>
      </c>
      <c r="F50" s="28"/>
      <c r="H50">
        <f>+C50+E50</f>
        <v>0</v>
      </c>
      <c r="J50" s="28"/>
      <c r="L50" s="1"/>
      <c r="P50" s="94"/>
      <c r="R50" s="94"/>
    </row>
    <row r="51" spans="1:21" customFormat="1" ht="16.5" hidden="1" customHeight="1" x14ac:dyDescent="0.3">
      <c r="A51" s="90" t="s">
        <v>99</v>
      </c>
      <c r="B51" s="88"/>
      <c r="C51" s="78"/>
      <c r="D51" s="91"/>
      <c r="E51" s="88">
        <v>0</v>
      </c>
      <c r="F51" s="92"/>
      <c r="H51">
        <f>+G58+E51</f>
        <v>0</v>
      </c>
      <c r="J51" s="28"/>
      <c r="K51" s="102"/>
      <c r="L51" s="1"/>
      <c r="Q51" s="1"/>
    </row>
    <row r="52" spans="1:21" customFormat="1" hidden="1" x14ac:dyDescent="0.3">
      <c r="A52" s="99"/>
      <c r="B52" s="88"/>
      <c r="C52" s="2"/>
      <c r="D52" s="91"/>
      <c r="E52" s="88"/>
      <c r="F52" s="92"/>
      <c r="G52" s="26"/>
      <c r="H52" s="26"/>
      <c r="I52" s="26"/>
      <c r="J52" s="28"/>
      <c r="L52" s="1"/>
      <c r="Q52" s="1"/>
      <c r="R52" s="94"/>
      <c r="U52" s="1"/>
    </row>
    <row r="53" spans="1:21" customFormat="1" x14ac:dyDescent="0.3">
      <c r="A53" s="90" t="s">
        <v>130</v>
      </c>
      <c r="B53" s="87"/>
      <c r="C53" s="117"/>
      <c r="D53" s="26"/>
      <c r="E53" s="26">
        <v>0</v>
      </c>
      <c r="F53" s="28"/>
      <c r="G53" s="28"/>
      <c r="H53" s="26">
        <f>+G60+E53</f>
        <v>0</v>
      </c>
      <c r="I53" s="93">
        <v>-9090236.3200000003</v>
      </c>
      <c r="J53" s="93">
        <v>-4217299.88</v>
      </c>
      <c r="K53" s="93">
        <v>-7616653.459999999</v>
      </c>
      <c r="L53" s="40">
        <v>-873386.32</v>
      </c>
      <c r="M53" s="94">
        <f>+C53+I53+J53+K53+L53</f>
        <v>-21797575.979999997</v>
      </c>
      <c r="N53" s="93">
        <v>16655100.619999999</v>
      </c>
      <c r="O53" s="94">
        <f>+M53+N53</f>
        <v>-5142475.3599999975</v>
      </c>
      <c r="P53" s="94"/>
      <c r="R53" s="94"/>
    </row>
    <row r="54" spans="1:21" customFormat="1" ht="37.5" hidden="1" x14ac:dyDescent="0.25">
      <c r="A54" s="90" t="s">
        <v>131</v>
      </c>
      <c r="B54" s="87"/>
      <c r="C54" s="119"/>
      <c r="D54" s="26"/>
      <c r="E54" s="26">
        <v>0</v>
      </c>
      <c r="F54" s="28"/>
      <c r="G54" s="28"/>
      <c r="H54" s="26">
        <f>+G61+E54</f>
        <v>-1380288.7175000003</v>
      </c>
      <c r="I54" s="60"/>
      <c r="J54" s="28"/>
      <c r="L54" s="1"/>
    </row>
    <row r="55" spans="1:21" customFormat="1" hidden="1" x14ac:dyDescent="0.25">
      <c r="A55" s="90" t="s">
        <v>132</v>
      </c>
      <c r="B55" s="87"/>
      <c r="C55" s="74"/>
      <c r="D55" s="26"/>
      <c r="E55" s="26">
        <v>0</v>
      </c>
      <c r="F55" s="28"/>
      <c r="G55" s="28"/>
      <c r="H55" s="26">
        <f>+G62+E55</f>
        <v>20979065.719999999</v>
      </c>
      <c r="I55" s="28"/>
      <c r="J55" s="28"/>
      <c r="L55" s="1"/>
      <c r="O55" s="120">
        <v>-478574.57</v>
      </c>
      <c r="Q55" s="1"/>
      <c r="R55" s="22"/>
      <c r="S55" s="102"/>
    </row>
    <row r="56" spans="1:21" customFormat="1" hidden="1" x14ac:dyDescent="0.25">
      <c r="A56" s="90" t="s">
        <v>133</v>
      </c>
      <c r="B56" s="87"/>
      <c r="C56" s="74"/>
      <c r="D56" s="26"/>
      <c r="E56" s="26">
        <v>0</v>
      </c>
      <c r="F56" s="28"/>
      <c r="G56" s="28"/>
      <c r="H56" s="26">
        <f>+G63+E56</f>
        <v>19598777.002499998</v>
      </c>
      <c r="I56" s="60"/>
      <c r="J56" s="28"/>
      <c r="L56" s="1"/>
      <c r="O56" s="121">
        <f>+O53-O55</f>
        <v>-4663900.7899999972</v>
      </c>
    </row>
    <row r="57" spans="1:21" customFormat="1" hidden="1" x14ac:dyDescent="0.25">
      <c r="A57" s="90" t="s">
        <v>134</v>
      </c>
      <c r="B57" s="87"/>
      <c r="C57" s="74"/>
      <c r="D57" s="26"/>
      <c r="E57" s="26">
        <v>0</v>
      </c>
      <c r="F57" s="28"/>
      <c r="G57" s="28"/>
      <c r="H57" s="26">
        <f>+G65+E57</f>
        <v>0</v>
      </c>
      <c r="I57" s="26"/>
      <c r="J57" s="28"/>
      <c r="L57" s="1"/>
      <c r="M57" s="94"/>
      <c r="N57" s="94"/>
    </row>
    <row r="58" spans="1:21" customFormat="1" x14ac:dyDescent="0.25">
      <c r="A58" s="90" t="s">
        <v>123</v>
      </c>
      <c r="B58" s="87"/>
      <c r="C58" s="74"/>
      <c r="D58" s="26"/>
      <c r="E58" s="26">
        <v>0</v>
      </c>
      <c r="F58" s="49"/>
      <c r="G58" s="53"/>
      <c r="H58" s="26" t="e">
        <f>+G66+E58</f>
        <v>#VALUE!</v>
      </c>
      <c r="I58" s="28"/>
      <c r="J58" s="28"/>
      <c r="Q58" s="1"/>
    </row>
    <row r="59" spans="1:21" customFormat="1" x14ac:dyDescent="0.3">
      <c r="A59" s="122" t="s">
        <v>135</v>
      </c>
      <c r="B59" s="100"/>
      <c r="C59" s="100">
        <f>SUM(C47:C58)</f>
        <v>0</v>
      </c>
      <c r="D59" s="100"/>
      <c r="E59" s="100">
        <f t="shared" ref="E59:L59" si="5">SUM(E47:E58)</f>
        <v>0</v>
      </c>
      <c r="F59" s="100">
        <f t="shared" si="5"/>
        <v>0</v>
      </c>
      <c r="G59" s="100">
        <f t="shared" si="5"/>
        <v>-8197928.1200000001</v>
      </c>
      <c r="H59" s="100" t="e">
        <f t="shared" si="5"/>
        <v>#VALUE!</v>
      </c>
      <c r="I59" s="100">
        <f t="shared" si="5"/>
        <v>-4788763.2300000004</v>
      </c>
      <c r="J59" s="100">
        <f t="shared" si="5"/>
        <v>-3023635.46</v>
      </c>
      <c r="K59" s="100">
        <f t="shared" si="5"/>
        <v>-6734959.6199999992</v>
      </c>
      <c r="L59" s="100">
        <f t="shared" si="5"/>
        <v>-364131.80999999994</v>
      </c>
      <c r="Q59" s="1"/>
    </row>
    <row r="60" spans="1:21" customFormat="1" x14ac:dyDescent="0.3">
      <c r="A60" s="92"/>
      <c r="B60" s="88"/>
      <c r="C60" s="88"/>
      <c r="D60" s="91"/>
      <c r="E60" s="88"/>
      <c r="F60" s="92"/>
      <c r="G60" s="26"/>
      <c r="H60" s="26" t="s">
        <v>110</v>
      </c>
      <c r="I60" s="26"/>
      <c r="J60" s="28"/>
      <c r="R60" s="94"/>
    </row>
    <row r="61" spans="1:21" x14ac:dyDescent="0.25">
      <c r="A61" s="74" t="s">
        <v>136</v>
      </c>
      <c r="B61" s="78"/>
      <c r="C61" s="78">
        <f>+C26+C44+C59</f>
        <v>-2632227.6399999997</v>
      </c>
      <c r="D61" s="78">
        <f>+D26+D44+D59</f>
        <v>0</v>
      </c>
      <c r="E61" s="78">
        <f>+E26+E44+E59</f>
        <v>-172671604.18000001</v>
      </c>
      <c r="F61" s="78">
        <f>+F26+F44+F59</f>
        <v>0</v>
      </c>
      <c r="G61" s="78">
        <f>+G26+G44+G59</f>
        <v>-1380288.7175000003</v>
      </c>
      <c r="H61" s="22">
        <f>+C61+E61</f>
        <v>-175303831.81999999</v>
      </c>
      <c r="I61" s="78">
        <f>+I26+I44+I59</f>
        <v>-1263504.060000001</v>
      </c>
      <c r="J61" s="78">
        <f>+J26+J44+J59</f>
        <v>-6464170.0810000002</v>
      </c>
      <c r="K61" s="78">
        <f>+K26+K44+K59</f>
        <v>-2637869.9299999992</v>
      </c>
      <c r="L61" s="78">
        <f>+L26+L44+L59</f>
        <v>354154.04000000039</v>
      </c>
    </row>
    <row r="62" spans="1:21" ht="23.25" x14ac:dyDescent="0.25">
      <c r="A62" s="74" t="s">
        <v>137</v>
      </c>
      <c r="B62" s="116"/>
      <c r="C62" s="116">
        <v>20572793</v>
      </c>
      <c r="D62" s="123"/>
      <c r="E62" s="116">
        <v>5853191.9199999999</v>
      </c>
      <c r="F62" s="74"/>
      <c r="G62" s="116">
        <v>20979065.719999999</v>
      </c>
      <c r="H62" s="22">
        <f>+C62+E62</f>
        <v>26425984.920000002</v>
      </c>
      <c r="I62" s="116">
        <v>19598777</v>
      </c>
      <c r="J62" s="116">
        <v>18335272.939999998</v>
      </c>
      <c r="K62" s="116">
        <v>11871103</v>
      </c>
      <c r="L62" s="116">
        <v>9233233</v>
      </c>
      <c r="P62" s="124"/>
    </row>
    <row r="63" spans="1:21" ht="19.5" thickBot="1" x14ac:dyDescent="0.3">
      <c r="A63" s="74" t="s">
        <v>138</v>
      </c>
      <c r="B63" s="125"/>
      <c r="C63" s="125">
        <f>SUM(C61:C62)</f>
        <v>17940565.359999999</v>
      </c>
      <c r="D63" s="100"/>
      <c r="E63" s="125">
        <f>SUM(E61:E62)</f>
        <v>-166818412.26000002</v>
      </c>
      <c r="F63" s="74"/>
      <c r="G63" s="125">
        <f>SUM(G61:G62)</f>
        <v>19598777.002499998</v>
      </c>
      <c r="H63" s="22">
        <f>+C63+E63</f>
        <v>-148877846.90000004</v>
      </c>
      <c r="I63" s="125">
        <f>SUM(I61:I62)</f>
        <v>18335272.939999998</v>
      </c>
      <c r="J63" s="125">
        <f>SUM(J61:J62)</f>
        <v>11871102.858999997</v>
      </c>
      <c r="K63" s="125">
        <f>SUM(K61:K62)</f>
        <v>9233233.0700000003</v>
      </c>
      <c r="L63" s="125">
        <f>SUM(L61:L62)</f>
        <v>9587387.040000001</v>
      </c>
      <c r="P63" s="63"/>
      <c r="Q63" s="56"/>
    </row>
    <row r="64" spans="1:21" ht="19.5" thickTop="1" x14ac:dyDescent="0.25">
      <c r="B64" s="100"/>
      <c r="C64" s="100"/>
      <c r="D64" s="100"/>
      <c r="E64" s="100"/>
      <c r="F64" s="74"/>
      <c r="G64" s="100"/>
      <c r="H64" s="22"/>
      <c r="I64" s="100"/>
      <c r="J64" s="100"/>
      <c r="K64" s="100"/>
      <c r="L64" s="100"/>
    </row>
    <row r="65" spans="1:16" x14ac:dyDescent="0.25">
      <c r="B65" s="74"/>
      <c r="C65" s="85"/>
      <c r="D65" s="85"/>
      <c r="E65" s="85"/>
      <c r="F65" s="74"/>
      <c r="G65" s="26"/>
      <c r="H65" s="2" t="s">
        <v>110</v>
      </c>
      <c r="I65" s="22"/>
      <c r="P65" s="63"/>
    </row>
    <row r="66" spans="1:16" ht="21" hidden="1" x14ac:dyDescent="0.25">
      <c r="A66" s="126" t="s">
        <v>139</v>
      </c>
      <c r="B66" s="126"/>
      <c r="C66" s="78"/>
      <c r="D66" s="74"/>
      <c r="E66" s="78"/>
      <c r="F66" s="74"/>
      <c r="G66" s="116" t="s">
        <v>140</v>
      </c>
      <c r="M66" s="33">
        <f>+K62-J63</f>
        <v>0.14100000262260437</v>
      </c>
    </row>
    <row r="67" spans="1:16" x14ac:dyDescent="0.25">
      <c r="A67" s="8" t="s">
        <v>87</v>
      </c>
      <c r="B67" s="8"/>
      <c r="C67" s="8"/>
      <c r="D67" s="74"/>
      <c r="E67" s="74"/>
      <c r="F67" s="74"/>
      <c r="G67" s="22"/>
      <c r="I67" s="22" t="e">
        <f>+C63-G66</f>
        <v>#VALUE!</v>
      </c>
    </row>
    <row r="68" spans="1:16" x14ac:dyDescent="0.25">
      <c r="A68" s="127" t="s">
        <v>88</v>
      </c>
      <c r="B68" s="127"/>
      <c r="C68" s="127"/>
      <c r="D68" s="74"/>
      <c r="E68" s="74"/>
      <c r="F68" s="74"/>
      <c r="I68" s="40"/>
    </row>
    <row r="69" spans="1:16" hidden="1" x14ac:dyDescent="0.25">
      <c r="A69" s="128" t="s">
        <v>141</v>
      </c>
      <c r="B69" s="128"/>
      <c r="C69" s="128"/>
      <c r="D69" s="128"/>
      <c r="E69" s="128"/>
      <c r="F69" s="74"/>
      <c r="I69" s="22"/>
    </row>
    <row r="70" spans="1:16" hidden="1" x14ac:dyDescent="0.25">
      <c r="B70" s="74"/>
      <c r="D70" s="74"/>
      <c r="E70" s="74"/>
      <c r="F70" s="74"/>
      <c r="I70" s="89"/>
    </row>
    <row r="71" spans="1:16" hidden="1" x14ac:dyDescent="0.25">
      <c r="B71" s="74"/>
      <c r="D71" s="74"/>
      <c r="E71" s="74"/>
      <c r="F71" s="74"/>
      <c r="I71" s="40"/>
    </row>
    <row r="72" spans="1:16" ht="18.75" hidden="1" customHeight="1" x14ac:dyDescent="0.25">
      <c r="A72" s="129"/>
      <c r="B72" s="128"/>
      <c r="C72" s="129"/>
      <c r="D72" s="90"/>
      <c r="E72" s="90"/>
      <c r="F72" s="90"/>
    </row>
    <row r="73" spans="1:16" hidden="1" x14ac:dyDescent="0.25">
      <c r="B73" s="74"/>
      <c r="D73" s="74"/>
      <c r="E73" s="74"/>
      <c r="F73" s="74"/>
    </row>
    <row r="78" spans="1:16" x14ac:dyDescent="0.25">
      <c r="C78" s="119"/>
      <c r="D78" s="130"/>
      <c r="E78" s="32"/>
    </row>
    <row r="79" spans="1:16" x14ac:dyDescent="0.25">
      <c r="C79" s="119"/>
      <c r="D79" s="130"/>
      <c r="E79" s="32"/>
    </row>
    <row r="80" spans="1:16" x14ac:dyDescent="0.25">
      <c r="C80" s="119"/>
      <c r="D80" s="130"/>
      <c r="E80" s="32"/>
    </row>
    <row r="81" spans="3:5" x14ac:dyDescent="0.25">
      <c r="C81" s="119"/>
      <c r="D81" s="130"/>
      <c r="E81" s="32"/>
    </row>
    <row r="82" spans="3:5" x14ac:dyDescent="0.25">
      <c r="C82" s="119"/>
      <c r="D82" s="130"/>
      <c r="E82" s="32"/>
    </row>
    <row r="83" spans="3:5" x14ac:dyDescent="0.25">
      <c r="C83" s="119"/>
      <c r="D83" s="130"/>
      <c r="E83" s="32"/>
    </row>
    <row r="84" spans="3:5" x14ac:dyDescent="0.25">
      <c r="C84" s="119"/>
      <c r="D84" s="130"/>
      <c r="E84" s="32"/>
    </row>
    <row r="85" spans="3:5" x14ac:dyDescent="0.25">
      <c r="C85" s="119"/>
      <c r="D85" s="130"/>
      <c r="E85" s="32"/>
    </row>
    <row r="86" spans="3:5" x14ac:dyDescent="0.25">
      <c r="C86" s="119"/>
      <c r="D86" s="130"/>
      <c r="E86" s="32"/>
    </row>
    <row r="87" spans="3:5" x14ac:dyDescent="0.25">
      <c r="C87" s="119"/>
      <c r="D87" s="130"/>
      <c r="E87" s="32"/>
    </row>
    <row r="88" spans="3:5" x14ac:dyDescent="0.25">
      <c r="C88" s="119"/>
      <c r="D88" s="130"/>
      <c r="E88" s="32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12BE-20FF-41A4-9EDF-F2F5538C6B90}">
  <sheetPr filterMode="1"/>
  <dimension ref="A1:T84"/>
  <sheetViews>
    <sheetView view="pageBreakPreview" topLeftCell="B10" zoomScaleSheetLayoutView="100" workbookViewId="0">
      <selection activeCell="S40" sqref="S40"/>
    </sheetView>
  </sheetViews>
  <sheetFormatPr baseColWidth="10" defaultColWidth="11.42578125" defaultRowHeight="15" x14ac:dyDescent="0.25"/>
  <cols>
    <col min="1" max="1" width="7.5703125" style="9" hidden="1" customWidth="1"/>
    <col min="2" max="2" width="61.28515625" style="2" customWidth="1"/>
    <col min="3" max="3" width="20.140625" style="2" hidden="1" customWidth="1"/>
    <col min="4" max="4" width="13.7109375" style="2" hidden="1" customWidth="1"/>
    <col min="5" max="5" width="4" style="2" hidden="1" customWidth="1"/>
    <col min="6" max="6" width="26.5703125" style="2" customWidth="1"/>
    <col min="7" max="7" width="4.42578125" style="2" hidden="1" customWidth="1"/>
    <col min="8" max="8" width="1.85546875" style="2" hidden="1" customWidth="1"/>
    <col min="9" max="9" width="19.140625" style="2" hidden="1" customWidth="1"/>
    <col min="10" max="10" width="88" style="2" hidden="1" customWidth="1"/>
    <col min="11" max="11" width="87.42578125" style="2" hidden="1" customWidth="1"/>
    <col min="12" max="12" width="15.28515625" style="2" hidden="1" customWidth="1"/>
    <col min="13" max="13" width="16.5703125" style="2" bestFit="1" customWidth="1"/>
    <col min="14" max="14" width="14" style="2" hidden="1" customWidth="1"/>
    <col min="15" max="15" width="19.7109375" style="2" hidden="1" customWidth="1"/>
    <col min="16" max="16" width="0" style="2" hidden="1" customWidth="1"/>
    <col min="17" max="17" width="15.140625" style="3" hidden="1" customWidth="1"/>
    <col min="18" max="18" width="0" style="3" hidden="1" customWidth="1"/>
    <col min="19" max="19" width="23.5703125" style="3" customWidth="1"/>
    <col min="20" max="20" width="13.42578125" style="3" bestFit="1" customWidth="1"/>
    <col min="21" max="16384" width="11.42578125" style="3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3"/>
      <c r="C8" s="3"/>
      <c r="D8" s="3"/>
      <c r="E8" s="3"/>
      <c r="F8" s="3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4" t="s">
        <v>0</v>
      </c>
      <c r="C15" s="5"/>
      <c r="D15" s="5"/>
      <c r="E15" s="5"/>
      <c r="F15" s="4"/>
      <c r="G15" s="6"/>
      <c r="H15" s="6"/>
      <c r="I15" s="6"/>
    </row>
    <row r="16" spans="2:9" ht="18.75" x14ac:dyDescent="0.25">
      <c r="B16" s="7" t="s">
        <v>1</v>
      </c>
      <c r="C16" s="8"/>
      <c r="D16" s="8"/>
      <c r="E16" s="8"/>
      <c r="F16" s="7"/>
      <c r="G16" s="6"/>
      <c r="H16" s="6"/>
      <c r="I16" s="6"/>
    </row>
    <row r="17" spans="1:19" ht="18.75" x14ac:dyDescent="0.25">
      <c r="B17" s="7" t="s">
        <v>2</v>
      </c>
      <c r="C17" s="8"/>
      <c r="D17" s="8"/>
      <c r="E17" s="8"/>
      <c r="F17" s="7"/>
      <c r="G17" s="6"/>
      <c r="H17" s="6"/>
      <c r="I17" s="6"/>
    </row>
    <row r="18" spans="1:19" ht="15.75" customHeight="1" x14ac:dyDescent="0.25">
      <c r="B18" s="10"/>
      <c r="C18" s="11"/>
      <c r="D18" s="11"/>
      <c r="E18" s="11"/>
      <c r="G18" s="12"/>
      <c r="H18" s="12"/>
      <c r="I18" s="12"/>
    </row>
    <row r="19" spans="1:19" ht="15.75" x14ac:dyDescent="0.25">
      <c r="C19" s="13"/>
      <c r="D19" s="12"/>
      <c r="E19" s="12"/>
      <c r="F19" s="14"/>
      <c r="G19" s="6"/>
      <c r="H19" s="15">
        <f>+'[1]BC Balance Comprobación'!F11</f>
        <v>2021</v>
      </c>
      <c r="I19" s="15"/>
    </row>
    <row r="20" spans="1:19" ht="15.75" x14ac:dyDescent="0.25">
      <c r="A20" s="9" t="s">
        <v>3</v>
      </c>
      <c r="B20" s="16" t="s">
        <v>4</v>
      </c>
      <c r="C20" s="13"/>
      <c r="D20" s="17"/>
      <c r="E20" s="17"/>
      <c r="F20" s="18"/>
      <c r="G20" s="19"/>
      <c r="H20" s="19"/>
      <c r="I20" s="19"/>
    </row>
    <row r="21" spans="1:19" ht="15.75" x14ac:dyDescent="0.25">
      <c r="B21" s="16" t="s">
        <v>5</v>
      </c>
      <c r="C21" s="20"/>
      <c r="D21" s="17"/>
      <c r="E21" s="17"/>
      <c r="F21" s="21"/>
      <c r="G21" s="19"/>
      <c r="H21" s="19"/>
      <c r="I21" s="19"/>
    </row>
    <row r="22" spans="1:19" ht="15.75" x14ac:dyDescent="0.25">
      <c r="A22" s="9" t="s">
        <v>6</v>
      </c>
      <c r="B22" s="2" t="s">
        <v>7</v>
      </c>
      <c r="C22" s="13"/>
      <c r="D22" s="13"/>
      <c r="E22" s="13"/>
      <c r="F22" s="22">
        <f>'[2]EFE-Flujo de Efectivo'!C63</f>
        <v>17940565.359999999</v>
      </c>
      <c r="G22" s="23"/>
      <c r="H22" s="13"/>
      <c r="I22" s="13">
        <v>23411067</v>
      </c>
      <c r="J22" s="22">
        <f>F22-I22</f>
        <v>-5470501.6400000006</v>
      </c>
      <c r="K22" s="22"/>
      <c r="L22" s="22">
        <f t="shared" ref="L22:L29" si="0">+F22+H22</f>
        <v>17940565.359999999</v>
      </c>
      <c r="M22" s="22"/>
      <c r="N22" s="24"/>
    </row>
    <row r="23" spans="1:19" customFormat="1" ht="15.75" hidden="1" x14ac:dyDescent="0.25">
      <c r="A23" s="25" t="s">
        <v>8</v>
      </c>
      <c r="B23" s="2" t="s">
        <v>9</v>
      </c>
      <c r="C23" s="13">
        <v>3597453</v>
      </c>
      <c r="D23" s="2"/>
      <c r="E23" s="2"/>
      <c r="F23" s="26" t="e">
        <f>+SUMIF('[1]BC Balance Comprobación'!A:A,'ESF - Situación Financiera'!A23,'[1]BC Balance Comprobación'!D:D)</f>
        <v>#VALUE!</v>
      </c>
      <c r="G23" s="27"/>
      <c r="H23" s="26" t="e">
        <f>+SUMIF('[1]BC Balance Comprobación'!A:A,'ESF - Situación Financiera'!A23,'[1]BC Balance Comprobación'!F:F)</f>
        <v>#VALUE!</v>
      </c>
      <c r="I23" s="26"/>
      <c r="J23" s="28"/>
      <c r="K23" s="28"/>
      <c r="L23" s="26" t="e">
        <f t="shared" si="0"/>
        <v>#VALUE!</v>
      </c>
      <c r="M23" s="28"/>
      <c r="N23" s="29"/>
      <c r="O23" s="28"/>
      <c r="P23" s="28"/>
    </row>
    <row r="24" spans="1:19" customFormat="1" ht="15.75" hidden="1" x14ac:dyDescent="0.25">
      <c r="A24" s="25" t="s">
        <v>10</v>
      </c>
      <c r="B24" s="2" t="s">
        <v>11</v>
      </c>
      <c r="C24" s="13">
        <v>31209265.759999998</v>
      </c>
      <c r="D24" s="2"/>
      <c r="E24" s="2"/>
      <c r="F24" s="26" t="e">
        <f>+SUMIF('[1]BC Balance Comprobación'!A:A,'ESF - Situación Financiera'!A24,'[1]BC Balance Comprobación'!D:D)</f>
        <v>#VALUE!</v>
      </c>
      <c r="G24" s="27"/>
      <c r="H24" s="26" t="e">
        <f>+SUMIF('[1]BC Balance Comprobación'!A:A,'ESF - Situación Financiera'!A24,'[1]BC Balance Comprobación'!F:F)</f>
        <v>#VALUE!</v>
      </c>
      <c r="I24" s="26"/>
      <c r="J24" s="28"/>
      <c r="K24" s="28"/>
      <c r="L24" s="26" t="e">
        <f t="shared" si="0"/>
        <v>#VALUE!</v>
      </c>
      <c r="M24" s="28"/>
      <c r="N24" s="29"/>
      <c r="O24" s="28"/>
      <c r="P24" s="28"/>
    </row>
    <row r="25" spans="1:19" customFormat="1" ht="15.75" hidden="1" x14ac:dyDescent="0.25">
      <c r="A25" s="25" t="s">
        <v>12</v>
      </c>
      <c r="B25" s="2" t="s">
        <v>13</v>
      </c>
      <c r="C25" s="20"/>
      <c r="D25" s="2"/>
      <c r="E25" s="2"/>
      <c r="F25" s="26"/>
      <c r="G25" s="27"/>
      <c r="H25" s="26" t="e">
        <f>+SUMIF('[1]BC Balance Comprobación'!A:A,'ESF - Situación Financiera'!A25,'[1]BC Balance Comprobación'!F:F)</f>
        <v>#VALUE!</v>
      </c>
      <c r="I25" s="26"/>
      <c r="J25" s="28"/>
      <c r="K25" s="28"/>
      <c r="L25" s="26" t="e">
        <f t="shared" si="0"/>
        <v>#VALUE!</v>
      </c>
      <c r="M25" s="28"/>
      <c r="N25" s="29"/>
      <c r="O25" s="28"/>
      <c r="P25" s="28"/>
    </row>
    <row r="26" spans="1:19" ht="15.75" x14ac:dyDescent="0.25">
      <c r="A26" s="9" t="s">
        <v>14</v>
      </c>
      <c r="B26" s="2" t="s">
        <v>15</v>
      </c>
      <c r="C26" s="30"/>
      <c r="D26" s="13"/>
      <c r="E26" s="13"/>
      <c r="F26" s="31">
        <f>'[2]BC Balance Comprobación'!D21</f>
        <v>1528900</v>
      </c>
      <c r="G26" s="23"/>
      <c r="H26" s="13"/>
      <c r="I26" s="13">
        <v>2361505</v>
      </c>
      <c r="J26" s="22">
        <f>F26-I26</f>
        <v>-832605</v>
      </c>
      <c r="K26" s="22"/>
      <c r="L26" s="22">
        <f t="shared" si="0"/>
        <v>1528900</v>
      </c>
      <c r="M26" s="22"/>
      <c r="N26" s="24"/>
      <c r="O26" s="32"/>
      <c r="S26" s="33"/>
    </row>
    <row r="27" spans="1:19" customFormat="1" ht="16.5" hidden="1" thickBot="1" x14ac:dyDescent="0.3">
      <c r="A27" s="25" t="s">
        <v>16</v>
      </c>
      <c r="B27" s="2" t="s">
        <v>17</v>
      </c>
      <c r="C27" s="34">
        <v>71924132.75</v>
      </c>
      <c r="D27" s="2"/>
      <c r="E27" s="2"/>
      <c r="F27" s="26" t="e">
        <f>+SUMIF('[1]BC Balance Comprobación'!A:A,'ESF - Situación Financiera'!A27,'[1]BC Balance Comprobación'!D:D)</f>
        <v>#VALUE!</v>
      </c>
      <c r="G27" s="27"/>
      <c r="H27" s="26" t="e">
        <f>+SUMIF('[1]BC Balance Comprobación'!A:A,'ESF - Situación Financiera'!A27,'[1]BC Balance Comprobación'!F:F)</f>
        <v>#VALUE!</v>
      </c>
      <c r="I27" s="26"/>
      <c r="J27" s="35" t="s">
        <v>18</v>
      </c>
      <c r="K27" s="28"/>
      <c r="L27" s="26" t="e">
        <f t="shared" si="0"/>
        <v>#VALUE!</v>
      </c>
      <c r="M27" s="28">
        <f>SUBTOTAL(9,M22:M26)</f>
        <v>0</v>
      </c>
      <c r="N27" s="29"/>
      <c r="O27" s="28"/>
      <c r="P27" s="28"/>
    </row>
    <row r="28" spans="1:19" customFormat="1" ht="15.75" hidden="1" x14ac:dyDescent="0.25">
      <c r="A28" s="25" t="s">
        <v>19</v>
      </c>
      <c r="B28" s="2" t="s">
        <v>20</v>
      </c>
      <c r="C28" s="13">
        <v>71924132.75</v>
      </c>
      <c r="D28" s="2"/>
      <c r="E28" s="2"/>
      <c r="F28" s="36" t="e">
        <f>+SUMIF('[1]BC Balance Comprobación'!A:A,'ESF - Situación Financiera'!A28,'[1]BC Balance Comprobación'!D:D)</f>
        <v>#VALUE!</v>
      </c>
      <c r="G28" s="27"/>
      <c r="H28" s="26" t="e">
        <f>+SUMIF('[1]BC Balance Comprobación'!A:A,'ESF - Situación Financiera'!A28,'[1]BC Balance Comprobación'!F:F)</f>
        <v>#VALUE!</v>
      </c>
      <c r="I28" s="26"/>
      <c r="J28" s="28"/>
      <c r="K28" s="28"/>
      <c r="L28" s="26" t="e">
        <f t="shared" si="0"/>
        <v>#VALUE!</v>
      </c>
      <c r="M28" s="28"/>
      <c r="N28" s="29"/>
      <c r="O28" s="28"/>
      <c r="P28" s="28"/>
    </row>
    <row r="29" spans="1:19" ht="15.75" x14ac:dyDescent="0.25">
      <c r="B29" s="37" t="s">
        <v>21</v>
      </c>
      <c r="C29" s="38">
        <f>C22+C26</f>
        <v>0</v>
      </c>
      <c r="D29" s="20"/>
      <c r="E29" s="20"/>
      <c r="F29" s="39">
        <f>F22+F26</f>
        <v>19469465.359999999</v>
      </c>
      <c r="G29" s="20"/>
      <c r="H29" s="20"/>
      <c r="I29" s="38">
        <f>I22+I26</f>
        <v>25772572</v>
      </c>
      <c r="J29" s="22">
        <f>F29-I29</f>
        <v>-6303106.6400000006</v>
      </c>
      <c r="K29" s="40"/>
      <c r="L29" s="22">
        <f t="shared" si="0"/>
        <v>19469465.359999999</v>
      </c>
      <c r="M29" s="22"/>
      <c r="N29" s="24"/>
    </row>
    <row r="30" spans="1:19" ht="15.75" x14ac:dyDescent="0.25">
      <c r="C30" s="20"/>
      <c r="D30" s="20"/>
      <c r="E30" s="20"/>
      <c r="F30" s="41"/>
      <c r="G30" s="23"/>
      <c r="H30" s="20"/>
      <c r="I30" s="20"/>
      <c r="J30" s="22">
        <f>F30-I30</f>
        <v>0</v>
      </c>
      <c r="K30" s="22"/>
      <c r="L30" s="22"/>
      <c r="N30" s="24"/>
    </row>
    <row r="31" spans="1:19" ht="15.75" x14ac:dyDescent="0.25">
      <c r="B31" s="37" t="s">
        <v>22</v>
      </c>
      <c r="C31" s="13"/>
      <c r="D31" s="13"/>
      <c r="E31" s="13"/>
      <c r="F31" s="22"/>
      <c r="G31" s="13"/>
      <c r="H31" s="13"/>
      <c r="I31" s="13"/>
      <c r="J31" s="22">
        <f>F31-I31</f>
        <v>0</v>
      </c>
      <c r="K31" s="40"/>
      <c r="N31" s="24"/>
    </row>
    <row r="32" spans="1:19" customFormat="1" ht="15.75" hidden="1" x14ac:dyDescent="0.25">
      <c r="A32" s="25" t="s">
        <v>23</v>
      </c>
      <c r="B32" s="2" t="s">
        <v>24</v>
      </c>
      <c r="C32" s="42"/>
      <c r="D32" s="2"/>
      <c r="E32" s="2"/>
      <c r="F32" s="26" t="e">
        <f>+SUMIF('[1]BC Balance Comprobación'!A:A,'ESF - Situación Financiera'!A32,'[1]BC Balance Comprobación'!D:D)</f>
        <v>#VALUE!</v>
      </c>
      <c r="G32" s="27"/>
      <c r="H32" s="26" t="e">
        <f>+SUMIF('[1]BC Balance Comprobación'!A:A,'ESF - Situación Financiera'!A32,'[1]BC Balance Comprobación'!F:F)</f>
        <v>#VALUE!</v>
      </c>
      <c r="I32" s="26"/>
      <c r="J32" s="28"/>
      <c r="K32" s="28"/>
      <c r="L32" s="26" t="e">
        <f t="shared" ref="L32:L39" si="1">+F32+H32</f>
        <v>#VALUE!</v>
      </c>
      <c r="M32" s="28"/>
      <c r="N32" s="29"/>
      <c r="O32" s="28"/>
      <c r="P32" s="28"/>
    </row>
    <row r="33" spans="1:19" customFormat="1" ht="15.75" hidden="1" x14ac:dyDescent="0.25">
      <c r="A33" s="25" t="s">
        <v>25</v>
      </c>
      <c r="B33" s="2" t="s">
        <v>26</v>
      </c>
      <c r="C33" s="20"/>
      <c r="D33" s="2"/>
      <c r="E33" s="2"/>
      <c r="F33" s="26" t="e">
        <f>+SUMIF('[1]BC Balance Comprobación'!A:A,'ESF - Situación Financiera'!A33,'[1]BC Balance Comprobación'!D:D)</f>
        <v>#VALUE!</v>
      </c>
      <c r="G33" s="27"/>
      <c r="H33" s="26" t="e">
        <f>+SUMIF('[1]BC Balance Comprobación'!A:A,'ESF - Situación Financiera'!A33,'[1]BC Balance Comprobación'!F:F)</f>
        <v>#VALUE!</v>
      </c>
      <c r="I33" s="26"/>
      <c r="J33" s="28"/>
      <c r="K33" s="28"/>
      <c r="L33" s="26" t="e">
        <f t="shared" si="1"/>
        <v>#VALUE!</v>
      </c>
      <c r="M33" s="28"/>
      <c r="N33" s="29"/>
      <c r="O33" s="28"/>
      <c r="P33" s="28"/>
    </row>
    <row r="34" spans="1:19" customFormat="1" ht="15.75" hidden="1" x14ac:dyDescent="0.25">
      <c r="A34" s="25" t="s">
        <v>27</v>
      </c>
      <c r="B34" s="2" t="s">
        <v>28</v>
      </c>
      <c r="C34" s="20">
        <v>9152526.0999999996</v>
      </c>
      <c r="D34" s="2"/>
      <c r="E34" s="2"/>
      <c r="F34" s="26" t="e">
        <f>+SUMIF('[1]BC Balance Comprobación'!A:A,'ESF - Situación Financiera'!A34,'[1]BC Balance Comprobación'!D:D)</f>
        <v>#VALUE!</v>
      </c>
      <c r="G34" s="27"/>
      <c r="H34" s="26" t="e">
        <f>+SUMIF('[1]BC Balance Comprobación'!A:A,'ESF - Situación Financiera'!A34,'[1]BC Balance Comprobación'!F:F)</f>
        <v>#VALUE!</v>
      </c>
      <c r="I34" s="26"/>
      <c r="J34" s="28"/>
      <c r="K34" s="28"/>
      <c r="L34" s="26" t="e">
        <f t="shared" si="1"/>
        <v>#VALUE!</v>
      </c>
      <c r="M34" s="28"/>
      <c r="N34" s="29"/>
      <c r="O34" s="28"/>
      <c r="P34" s="28"/>
    </row>
    <row r="35" spans="1:19" customFormat="1" hidden="1" x14ac:dyDescent="0.25">
      <c r="A35" s="25" t="s">
        <v>29</v>
      </c>
      <c r="B35" s="2" t="s">
        <v>30</v>
      </c>
      <c r="C35" s="43">
        <v>388865.78</v>
      </c>
      <c r="D35" s="2"/>
      <c r="E35" s="2"/>
      <c r="F35" s="26" t="e">
        <f>+SUMIF('[1]BC Balance Comprobación'!A:A,'ESF - Situación Financiera'!A35,'[1]BC Balance Comprobación'!D:D)</f>
        <v>#VALUE!</v>
      </c>
      <c r="G35" s="27"/>
      <c r="H35" s="26" t="e">
        <f>+SUMIF('[1]BC Balance Comprobación'!A:A,'ESF - Situación Financiera'!A35,'[1]BC Balance Comprobación'!F:F)</f>
        <v>#VALUE!</v>
      </c>
      <c r="I35" s="26"/>
      <c r="J35" s="28"/>
      <c r="K35" s="28"/>
      <c r="L35" s="26" t="e">
        <f t="shared" si="1"/>
        <v>#VALUE!</v>
      </c>
      <c r="M35" s="28"/>
      <c r="N35" s="29"/>
      <c r="O35" s="28"/>
      <c r="P35" s="28"/>
    </row>
    <row r="36" spans="1:19" ht="15.75" x14ac:dyDescent="0.25">
      <c r="A36" s="9" t="s">
        <v>31</v>
      </c>
      <c r="B36" s="2" t="s">
        <v>32</v>
      </c>
      <c r="C36" s="30">
        <f>'[1]BC Balance Comprobación'!B21+'[1]BC Balance Comprobación'!B22</f>
        <v>0</v>
      </c>
      <c r="D36" s="13"/>
      <c r="E36" s="13"/>
      <c r="F36" s="31">
        <f>'[2]BC Balance Comprobación'!D23+'[2]BC Balance Comprobación'!D24</f>
        <v>68228769.860000014</v>
      </c>
      <c r="G36" s="23"/>
      <c r="H36" s="13"/>
      <c r="I36" s="13">
        <v>73263524</v>
      </c>
      <c r="J36" s="22">
        <f>F36-I36</f>
        <v>-5034754.1399999857</v>
      </c>
      <c r="K36" s="44"/>
      <c r="L36" s="22">
        <f t="shared" si="1"/>
        <v>68228769.860000014</v>
      </c>
      <c r="M36" s="44"/>
      <c r="N36" s="24"/>
    </row>
    <row r="37" spans="1:19" ht="15.75" hidden="1" x14ac:dyDescent="0.25">
      <c r="A37" s="9" t="s">
        <v>33</v>
      </c>
      <c r="B37" s="2" t="s">
        <v>34</v>
      </c>
      <c r="C37" s="38"/>
      <c r="F37" s="31" t="e">
        <f>+SUMIF('[1]BC Balance Comprobación'!A:A,'ESF - Situación Financiera'!A37,'[1]BC Balance Comprobación'!D:D)</f>
        <v>#VALUE!</v>
      </c>
      <c r="G37" s="45"/>
      <c r="H37" s="31" t="e">
        <f>+SUMIF('[1]BC Balance Comprobación'!A:A,'ESF - Situación Financiera'!A37,'[1]BC Balance Comprobación'!F:F)</f>
        <v>#VALUE!</v>
      </c>
      <c r="I37" s="22"/>
      <c r="K37" s="46"/>
      <c r="L37" s="22" t="e">
        <f t="shared" si="1"/>
        <v>#VALUE!</v>
      </c>
      <c r="N37" s="24"/>
    </row>
    <row r="38" spans="1:19" customFormat="1" ht="15.75" hidden="1" x14ac:dyDescent="0.25">
      <c r="A38" s="25" t="s">
        <v>35</v>
      </c>
      <c r="B38" s="47" t="s">
        <v>36</v>
      </c>
      <c r="C38" s="13">
        <v>0</v>
      </c>
      <c r="D38" s="47"/>
      <c r="E38" s="47"/>
      <c r="F38" s="48" t="e">
        <f>+SUMIF('[1]BC Balance Comprobación'!A:A,'ESF - Situación Financiera'!A38,'[1]BC Balance Comprobación'!D:D)</f>
        <v>#VALUE!</v>
      </c>
      <c r="G38" s="27"/>
      <c r="H38" s="26" t="e">
        <f>+SUMIF('[1]BC Balance Comprobación'!A:A,'ESF - Situación Financiera'!A38,'[1]BC Balance Comprobación'!F:F)</f>
        <v>#VALUE!</v>
      </c>
      <c r="I38" s="26"/>
      <c r="J38" s="35" t="s">
        <v>37</v>
      </c>
      <c r="K38" s="49"/>
      <c r="L38" s="26" t="e">
        <f t="shared" si="1"/>
        <v>#VALUE!</v>
      </c>
      <c r="M38" s="49"/>
      <c r="N38" s="29"/>
      <c r="O38" s="28"/>
      <c r="P38" s="28"/>
    </row>
    <row r="39" spans="1:19" ht="15.75" x14ac:dyDescent="0.25">
      <c r="B39" s="37" t="s">
        <v>38</v>
      </c>
      <c r="C39" s="38">
        <f>SUM(C32:C38)</f>
        <v>9541391.879999999</v>
      </c>
      <c r="D39" s="20"/>
      <c r="E39" s="20"/>
      <c r="F39" s="50">
        <f>F36</f>
        <v>68228769.860000014</v>
      </c>
      <c r="G39" s="20"/>
      <c r="H39" s="20"/>
      <c r="I39" s="38">
        <f>SUM(I32:I38)</f>
        <v>73263524</v>
      </c>
      <c r="J39" s="22">
        <f t="shared" ref="J39:J44" si="2">F39-I39</f>
        <v>-5034754.1399999857</v>
      </c>
      <c r="K39" s="44"/>
      <c r="L39" s="22">
        <f t="shared" si="1"/>
        <v>68228769.860000014</v>
      </c>
      <c r="M39" s="44"/>
      <c r="N39" s="24"/>
    </row>
    <row r="40" spans="1:19" ht="15.75" x14ac:dyDescent="0.25">
      <c r="C40" s="20"/>
      <c r="D40" s="20"/>
      <c r="E40" s="20"/>
      <c r="F40" s="41"/>
      <c r="G40" s="23"/>
      <c r="H40" s="20"/>
      <c r="I40" s="20"/>
      <c r="J40" s="22">
        <f t="shared" si="2"/>
        <v>0</v>
      </c>
      <c r="K40" s="22"/>
      <c r="L40" s="22"/>
      <c r="N40" s="24"/>
    </row>
    <row r="41" spans="1:19" ht="16.5" thickBot="1" x14ac:dyDescent="0.3">
      <c r="B41" s="37" t="s">
        <v>39</v>
      </c>
      <c r="C41" s="34">
        <f>SUM(C39,C29)</f>
        <v>9541391.879999999</v>
      </c>
      <c r="D41" s="20"/>
      <c r="E41" s="20"/>
      <c r="F41" s="51">
        <f>SUM(F39,F29)</f>
        <v>87698235.220000014</v>
      </c>
      <c r="G41" s="20"/>
      <c r="H41" s="20"/>
      <c r="I41" s="34">
        <f>SUM(I39,I29)</f>
        <v>99036096</v>
      </c>
      <c r="J41" s="22">
        <f t="shared" si="2"/>
        <v>-11337860.779999986</v>
      </c>
      <c r="K41" s="22"/>
      <c r="L41" s="22">
        <f>+F41+H41</f>
        <v>87698235.220000014</v>
      </c>
      <c r="M41" s="52"/>
      <c r="N41" s="24"/>
    </row>
    <row r="42" spans="1:19" ht="16.5" thickTop="1" x14ac:dyDescent="0.25">
      <c r="B42" s="2" t="s">
        <v>40</v>
      </c>
      <c r="C42" s="13"/>
      <c r="D42" s="13"/>
      <c r="E42" s="13"/>
      <c r="F42" s="22"/>
      <c r="G42" s="13"/>
      <c r="H42" s="13"/>
      <c r="I42" s="13"/>
      <c r="J42" s="22">
        <f t="shared" si="2"/>
        <v>0</v>
      </c>
      <c r="K42" s="22"/>
      <c r="N42" s="24"/>
    </row>
    <row r="43" spans="1:19" ht="15.75" x14ac:dyDescent="0.25">
      <c r="B43" s="37" t="s">
        <v>41</v>
      </c>
      <c r="C43" s="13"/>
      <c r="D43" s="13"/>
      <c r="E43" s="13"/>
      <c r="F43" s="22"/>
      <c r="G43" s="13"/>
      <c r="H43" s="13"/>
      <c r="I43" s="13"/>
      <c r="J43" s="22">
        <f t="shared" si="2"/>
        <v>0</v>
      </c>
      <c r="K43" s="22"/>
      <c r="N43" s="24"/>
    </row>
    <row r="44" spans="1:19" ht="15.75" x14ac:dyDescent="0.25">
      <c r="B44" s="37" t="s">
        <v>42</v>
      </c>
      <c r="C44" s="23"/>
      <c r="D44" s="23"/>
      <c r="E44" s="23"/>
      <c r="F44" s="45"/>
      <c r="G44" s="23"/>
      <c r="H44" s="23"/>
      <c r="I44" s="23"/>
      <c r="J44" s="22">
        <f t="shared" si="2"/>
        <v>0</v>
      </c>
      <c r="K44" s="22"/>
      <c r="N44" s="24"/>
    </row>
    <row r="45" spans="1:19" customFormat="1" ht="15.75" x14ac:dyDescent="0.25">
      <c r="A45" s="25" t="s">
        <v>43</v>
      </c>
      <c r="B45" s="2" t="s">
        <v>44</v>
      </c>
      <c r="C45" s="20">
        <v>37695935</v>
      </c>
      <c r="D45" s="2"/>
      <c r="E45" s="2"/>
      <c r="F45" s="26"/>
      <c r="G45" s="26"/>
      <c r="H45" s="26"/>
      <c r="I45" s="26"/>
      <c r="J45" s="28"/>
      <c r="K45" s="28"/>
      <c r="L45" s="26">
        <f t="shared" ref="L45:L54" si="3">+F45+H45</f>
        <v>0</v>
      </c>
      <c r="M45" s="28"/>
      <c r="N45" s="29"/>
      <c r="O45" s="28"/>
      <c r="P45" s="28"/>
    </row>
    <row r="46" spans="1:19" ht="15.75" x14ac:dyDescent="0.25">
      <c r="A46" s="9" t="s">
        <v>45</v>
      </c>
      <c r="B46" s="2" t="s">
        <v>46</v>
      </c>
      <c r="C46" s="53"/>
      <c r="D46" s="53"/>
      <c r="E46" s="53"/>
      <c r="F46" s="54">
        <f>-'[2]BC Balance Comprobación'!D29</f>
        <v>6625206.4299999997</v>
      </c>
      <c r="G46" s="45"/>
      <c r="H46" s="22"/>
      <c r="I46" s="55">
        <v>9644835</v>
      </c>
      <c r="K46" s="40"/>
      <c r="L46" s="22">
        <f t="shared" si="3"/>
        <v>6625206.4299999997</v>
      </c>
      <c r="M46" s="44"/>
      <c r="N46" s="24"/>
      <c r="O46" s="21"/>
      <c r="S46" s="56"/>
    </row>
    <row r="47" spans="1:19" customFormat="1" ht="15.75" hidden="1" x14ac:dyDescent="0.25">
      <c r="A47" s="25" t="s">
        <v>47</v>
      </c>
      <c r="B47" s="2" t="s">
        <v>48</v>
      </c>
      <c r="C47" s="19"/>
      <c r="D47" s="2"/>
      <c r="E47" s="2"/>
      <c r="F47" s="26" t="e">
        <f>-SUMIF('[1]BC Balance Comprobación'!A:A,'ESF - Situación Financiera'!A47,'[1]BC Balance Comprobación'!D:D)</f>
        <v>#VALUE!</v>
      </c>
      <c r="G47" s="27"/>
      <c r="H47" s="26"/>
      <c r="I47" s="26"/>
      <c r="J47" s="28"/>
      <c r="K47" s="28"/>
      <c r="L47" s="26" t="e">
        <f t="shared" si="3"/>
        <v>#VALUE!</v>
      </c>
      <c r="M47" s="28">
        <v>1056046.82</v>
      </c>
      <c r="N47" s="29"/>
      <c r="O47" s="28"/>
      <c r="P47" s="28"/>
    </row>
    <row r="48" spans="1:19" customFormat="1" ht="15.75" hidden="1" x14ac:dyDescent="0.25">
      <c r="A48" s="25" t="s">
        <v>49</v>
      </c>
      <c r="B48" s="2" t="s">
        <v>50</v>
      </c>
      <c r="C48" s="20">
        <v>103133398.63999999</v>
      </c>
      <c r="D48" s="2"/>
      <c r="E48" s="2"/>
      <c r="F48" s="26" t="e">
        <f>-SUMIF('[1]BC Balance Comprobación'!A:A,'ESF - Situación Financiera'!A48,'[1]BC Balance Comprobación'!D:D)</f>
        <v>#VALUE!</v>
      </c>
      <c r="G48" s="27"/>
      <c r="H48" s="26"/>
      <c r="I48" s="26"/>
      <c r="J48" s="28"/>
      <c r="K48" s="28"/>
      <c r="L48" s="26" t="e">
        <f t="shared" si="3"/>
        <v>#VALUE!</v>
      </c>
      <c r="M48" s="28">
        <v>7075581.6811864404</v>
      </c>
      <c r="N48" s="29"/>
      <c r="O48" s="28"/>
      <c r="P48" s="28"/>
    </row>
    <row r="49" spans="1:17" customFormat="1" ht="15.75" x14ac:dyDescent="0.25">
      <c r="A49" s="25" t="s">
        <v>51</v>
      </c>
      <c r="B49" s="2" t="s">
        <v>52</v>
      </c>
      <c r="C49" s="42"/>
      <c r="D49" s="53"/>
      <c r="E49" s="53"/>
      <c r="F49" s="57">
        <f>-'[2]BC Balance Comprobación'!D30</f>
        <v>408698.39</v>
      </c>
      <c r="G49" s="58"/>
      <c r="H49" s="55"/>
      <c r="I49" s="59"/>
      <c r="J49" s="22">
        <f>F49-I49</f>
        <v>408698.39</v>
      </c>
      <c r="K49" s="60"/>
      <c r="L49" s="26">
        <f t="shared" si="3"/>
        <v>408698.39</v>
      </c>
      <c r="M49" s="26"/>
      <c r="N49" s="29"/>
      <c r="O49" s="21"/>
      <c r="P49" s="28"/>
    </row>
    <row r="50" spans="1:17" customFormat="1" ht="15.75" hidden="1" x14ac:dyDescent="0.25">
      <c r="A50" s="25" t="s">
        <v>53</v>
      </c>
      <c r="B50" s="2" t="s">
        <v>54</v>
      </c>
      <c r="C50" s="20"/>
      <c r="D50" s="2"/>
      <c r="E50" s="2"/>
      <c r="F50" s="26" t="e">
        <f>-SUMIF('[1]BC Balance Comprobación'!A:A,'ESF - Situación Financiera'!A50,'[1]BC Balance Comprobación'!D:D)</f>
        <v>#VALUE!</v>
      </c>
      <c r="G50" s="27"/>
      <c r="H50" s="26" t="e">
        <f>-SUMIF('[1]BC Balance Comprobación'!A:A,'ESF - Situación Financiera'!A50,'[1]BC Balance Comprobación'!F:F)</f>
        <v>#VALUE!</v>
      </c>
      <c r="I50" s="26"/>
      <c r="J50" s="28"/>
      <c r="K50" s="28"/>
      <c r="L50" s="26" t="e">
        <f t="shared" si="3"/>
        <v>#VALUE!</v>
      </c>
      <c r="M50" s="28"/>
      <c r="N50" s="29"/>
      <c r="O50" s="28"/>
      <c r="P50" s="28"/>
    </row>
    <row r="51" spans="1:17" customFormat="1" hidden="1" x14ac:dyDescent="0.25">
      <c r="A51" s="25" t="s">
        <v>55</v>
      </c>
      <c r="B51" s="2" t="s">
        <v>56</v>
      </c>
      <c r="C51" s="2"/>
      <c r="D51" s="2"/>
      <c r="E51" s="2"/>
      <c r="F51" s="26" t="e">
        <f>-SUMIF('[1]BC Balance Comprobación'!A:A,'ESF - Situación Financiera'!A51,'[1]BC Balance Comprobación'!D:D)</f>
        <v>#VALUE!</v>
      </c>
      <c r="G51" s="27"/>
      <c r="H51" s="26" t="e">
        <f>-SUMIF('[1]BC Balance Comprobación'!A:A,'ESF - Situación Financiera'!A51,'[1]BC Balance Comprobación'!F:F)</f>
        <v>#VALUE!</v>
      </c>
      <c r="I51" s="26"/>
      <c r="J51" s="28"/>
      <c r="K51" s="28"/>
      <c r="L51" s="26" t="e">
        <f t="shared" si="3"/>
        <v>#VALUE!</v>
      </c>
      <c r="M51" s="28"/>
      <c r="N51" s="29"/>
      <c r="O51" s="28"/>
      <c r="P51" s="28"/>
    </row>
    <row r="52" spans="1:17" customFormat="1" hidden="1" x14ac:dyDescent="0.25">
      <c r="A52" s="25" t="s">
        <v>57</v>
      </c>
      <c r="B52" s="2" t="s">
        <v>58</v>
      </c>
      <c r="C52" s="2"/>
      <c r="D52" s="2"/>
      <c r="E52" s="2"/>
      <c r="F52" s="26" t="e">
        <f>-SUMIF('[1]BC Balance Comprobación'!A:A,'ESF - Situación Financiera'!A52,'[1]BC Balance Comprobación'!D:D)</f>
        <v>#VALUE!</v>
      </c>
      <c r="G52" s="27"/>
      <c r="H52" s="26"/>
      <c r="I52" s="26"/>
      <c r="J52" s="28"/>
      <c r="K52" s="28"/>
      <c r="L52" s="26" t="e">
        <f t="shared" si="3"/>
        <v>#VALUE!</v>
      </c>
      <c r="M52" s="28"/>
      <c r="N52" s="29"/>
      <c r="O52" s="28"/>
      <c r="P52" s="28"/>
    </row>
    <row r="53" spans="1:17" customFormat="1" hidden="1" x14ac:dyDescent="0.25">
      <c r="A53" s="25" t="s">
        <v>59</v>
      </c>
      <c r="B53" s="2" t="s">
        <v>60</v>
      </c>
      <c r="C53" s="2"/>
      <c r="D53" s="2"/>
      <c r="E53" s="2"/>
      <c r="F53" s="36">
        <v>0</v>
      </c>
      <c r="G53" s="27"/>
      <c r="H53" s="26"/>
      <c r="I53" s="36"/>
      <c r="J53" s="22">
        <f>F53-I53</f>
        <v>0</v>
      </c>
      <c r="K53" s="26"/>
      <c r="L53" s="26">
        <f t="shared" si="3"/>
        <v>0</v>
      </c>
      <c r="M53" s="28"/>
      <c r="N53" s="29"/>
      <c r="O53" s="28"/>
      <c r="P53" s="28"/>
    </row>
    <row r="54" spans="1:17" ht="15.75" x14ac:dyDescent="0.25">
      <c r="B54" s="37" t="s">
        <v>61</v>
      </c>
      <c r="C54" s="20">
        <f>SUBTOTAL(9,C45:C53)</f>
        <v>37695935</v>
      </c>
      <c r="D54" s="20"/>
      <c r="E54" s="20"/>
      <c r="F54" s="39">
        <f>SUBTOTAL(9,F45:F53)</f>
        <v>7033904.8199999994</v>
      </c>
      <c r="G54" s="20"/>
      <c r="H54" s="20"/>
      <c r="I54" s="20">
        <f>SUBTOTAL(9,I46:I53)</f>
        <v>9644835</v>
      </c>
      <c r="J54" s="22">
        <f>F54-I54</f>
        <v>-2610930.1800000006</v>
      </c>
      <c r="K54" s="22"/>
      <c r="L54" s="22">
        <f t="shared" si="3"/>
        <v>7033904.8199999994</v>
      </c>
      <c r="M54" s="22"/>
      <c r="N54" s="60"/>
      <c r="O54" s="40"/>
      <c r="Q54" s="56"/>
    </row>
    <row r="55" spans="1:17" ht="15.75" x14ac:dyDescent="0.25">
      <c r="C55" s="20"/>
      <c r="D55" s="20"/>
      <c r="E55" s="20"/>
      <c r="F55" s="41"/>
      <c r="G55" s="23"/>
      <c r="H55" s="13"/>
      <c r="I55" s="13"/>
      <c r="J55" s="22">
        <f>F55-I55</f>
        <v>0</v>
      </c>
      <c r="K55" s="22"/>
      <c r="L55" s="22"/>
      <c r="N55" s="24"/>
    </row>
    <row r="56" spans="1:17" customFormat="1" x14ac:dyDescent="0.25">
      <c r="A56" s="25"/>
      <c r="B56" s="61" t="s">
        <v>62</v>
      </c>
      <c r="C56" s="43">
        <f>C57+C58+C59+C60+C61+C62+C63</f>
        <v>0</v>
      </c>
      <c r="D56" s="43"/>
      <c r="E56" s="43"/>
      <c r="F56" s="43">
        <v>0</v>
      </c>
      <c r="G56" s="43"/>
      <c r="H56" s="43"/>
      <c r="I56" s="43">
        <f>I57+I58+I59+I60+I61+I62+I63</f>
        <v>0</v>
      </c>
      <c r="J56" s="22">
        <f>F56-I56</f>
        <v>0</v>
      </c>
      <c r="K56" s="26"/>
      <c r="L56" s="26">
        <f t="shared" ref="L56:L64" si="4">+F56+H56</f>
        <v>0</v>
      </c>
      <c r="M56" s="60"/>
      <c r="N56" s="29"/>
      <c r="O56" s="60"/>
      <c r="P56" s="28"/>
    </row>
    <row r="57" spans="1:17" customFormat="1" ht="27.75" hidden="1" customHeight="1" x14ac:dyDescent="0.25">
      <c r="A57" s="25" t="s">
        <v>63</v>
      </c>
      <c r="B57" s="2" t="s">
        <v>64</v>
      </c>
      <c r="C57" s="2"/>
      <c r="D57" s="2"/>
      <c r="E57" s="2"/>
      <c r="F57" s="26" t="e">
        <f>-SUMIF('[1]BC Balance Comprobación'!A:A,'ESF - Situación Financiera'!A57,'[1]BC Balance Comprobación'!D:D)</f>
        <v>#VALUE!</v>
      </c>
      <c r="G57" s="27"/>
      <c r="H57" s="26" t="e">
        <f>-SUMIF('[1]BC Balance Comprobación'!A:A,'ESF - Situación Financiera'!A57,'[1]BC Balance Comprobación'!F:F)</f>
        <v>#VALUE!</v>
      </c>
      <c r="I57" s="26"/>
      <c r="J57" s="28"/>
      <c r="K57" s="28"/>
      <c r="L57" s="26" t="e">
        <f t="shared" si="4"/>
        <v>#VALUE!</v>
      </c>
      <c r="M57" s="28"/>
      <c r="N57" s="29"/>
      <c r="O57" s="28"/>
      <c r="P57" s="28"/>
    </row>
    <row r="58" spans="1:17" customFormat="1" ht="27.75" hidden="1" customHeight="1" x14ac:dyDescent="0.25">
      <c r="A58" s="25" t="s">
        <v>65</v>
      </c>
      <c r="B58" s="2" t="s">
        <v>66</v>
      </c>
      <c r="C58" s="2"/>
      <c r="D58" s="2"/>
      <c r="E58" s="2"/>
      <c r="F58" s="26" t="e">
        <f>-SUMIF('[1]BC Balance Comprobación'!A:A,'ESF - Situación Financiera'!A58,'[1]BC Balance Comprobación'!D:D)</f>
        <v>#VALUE!</v>
      </c>
      <c r="G58" s="27"/>
      <c r="H58" s="26" t="e">
        <f>-SUMIF('[1]BC Balance Comprobación'!A:A,'ESF - Situación Financiera'!A58,'[1]BC Balance Comprobación'!F:F)</f>
        <v>#VALUE!</v>
      </c>
      <c r="I58" s="26"/>
      <c r="J58" s="28"/>
      <c r="K58" s="28"/>
      <c r="L58" s="26" t="e">
        <f t="shared" si="4"/>
        <v>#VALUE!</v>
      </c>
      <c r="M58" s="28"/>
      <c r="N58" s="29"/>
      <c r="O58" s="28"/>
      <c r="P58" s="28"/>
    </row>
    <row r="59" spans="1:17" customFormat="1" ht="27.75" hidden="1" customHeight="1" x14ac:dyDescent="0.25">
      <c r="A59" s="25" t="s">
        <v>67</v>
      </c>
      <c r="B59" s="2" t="s">
        <v>68</v>
      </c>
      <c r="C59" s="2"/>
      <c r="D59" s="2"/>
      <c r="E59" s="2"/>
      <c r="F59" s="26" t="e">
        <f>-SUMIF('[1]BC Balance Comprobación'!A:A,'ESF - Situación Financiera'!A59,'[1]BC Balance Comprobación'!D:D)</f>
        <v>#VALUE!</v>
      </c>
      <c r="G59" s="27"/>
      <c r="H59" s="26" t="e">
        <f>-SUMIF('[1]BC Balance Comprobación'!A:A,'ESF - Situación Financiera'!A59,'[1]BC Balance Comprobación'!F:F)</f>
        <v>#VALUE!</v>
      </c>
      <c r="I59" s="26"/>
      <c r="J59" s="28"/>
      <c r="K59" s="28"/>
      <c r="L59" s="26" t="e">
        <f t="shared" si="4"/>
        <v>#VALUE!</v>
      </c>
      <c r="M59" s="28"/>
      <c r="N59" s="29"/>
      <c r="O59" s="28"/>
      <c r="P59" s="28"/>
    </row>
    <row r="60" spans="1:17" customFormat="1" ht="27.75" hidden="1" customHeight="1" x14ac:dyDescent="0.25">
      <c r="A60" s="25" t="s">
        <v>69</v>
      </c>
      <c r="B60" s="2" t="s">
        <v>70</v>
      </c>
      <c r="C60" s="2"/>
      <c r="D60" s="2"/>
      <c r="E60" s="2"/>
      <c r="F60" s="26" t="e">
        <f>-SUMIF('[1]BC Balance Comprobación'!A:A,'ESF - Situación Financiera'!A60,'[1]BC Balance Comprobación'!D:D)</f>
        <v>#VALUE!</v>
      </c>
      <c r="G60" s="27"/>
      <c r="H60" s="26" t="e">
        <f>-SUMIF('[1]BC Balance Comprobación'!A:A,'ESF - Situación Financiera'!A60,'[1]BC Balance Comprobación'!F:F)</f>
        <v>#VALUE!</v>
      </c>
      <c r="I60" s="26"/>
      <c r="J60" s="28"/>
      <c r="K60" s="28"/>
      <c r="L60" s="26" t="e">
        <f t="shared" si="4"/>
        <v>#VALUE!</v>
      </c>
      <c r="M60" s="28"/>
      <c r="N60" s="29"/>
      <c r="O60" s="28"/>
      <c r="P60" s="28"/>
    </row>
    <row r="61" spans="1:17" customFormat="1" ht="27.75" hidden="1" customHeight="1" x14ac:dyDescent="0.25">
      <c r="A61" s="25" t="s">
        <v>71</v>
      </c>
      <c r="B61" s="2" t="s">
        <v>72</v>
      </c>
      <c r="C61" s="2"/>
      <c r="D61" s="2"/>
      <c r="E61" s="2"/>
      <c r="F61" s="26" t="e">
        <f>-SUMIF('[1]BC Balance Comprobación'!A:A,'ESF - Situación Financiera'!A61,'[1]BC Balance Comprobación'!D:D)</f>
        <v>#VALUE!</v>
      </c>
      <c r="G61" s="27"/>
      <c r="H61" s="26" t="e">
        <f>-SUMIF('[1]BC Balance Comprobación'!A:A,'ESF - Situación Financiera'!A61,'[1]BC Balance Comprobación'!F:F)</f>
        <v>#VALUE!</v>
      </c>
      <c r="I61" s="26"/>
      <c r="J61" s="28"/>
      <c r="K61" s="28"/>
      <c r="L61" s="26" t="e">
        <f t="shared" si="4"/>
        <v>#VALUE!</v>
      </c>
      <c r="M61" s="28"/>
      <c r="N61" s="29"/>
      <c r="O61" s="28"/>
      <c r="P61" s="28"/>
    </row>
    <row r="62" spans="1:17" customFormat="1" hidden="1" x14ac:dyDescent="0.25">
      <c r="A62" s="25" t="s">
        <v>73</v>
      </c>
      <c r="B62" s="2" t="s">
        <v>74</v>
      </c>
      <c r="C62" s="2"/>
      <c r="D62" s="2"/>
      <c r="E62" s="2"/>
      <c r="F62" s="26" t="e">
        <f>-SUMIF('[1]BC Balance Comprobación'!A:A,'ESF - Situación Financiera'!A62,'[1]BC Balance Comprobación'!D:D)</f>
        <v>#VALUE!</v>
      </c>
      <c r="G62" s="27"/>
      <c r="H62" s="26" t="e">
        <f>-SUMIF('[1]BC Balance Comprobación'!A:A,'ESF - Situación Financiera'!A62,'[1]BC Balance Comprobación'!F:F)</f>
        <v>#VALUE!</v>
      </c>
      <c r="I62" s="26"/>
      <c r="J62" s="28"/>
      <c r="K62" s="28"/>
      <c r="L62" s="26" t="e">
        <f t="shared" si="4"/>
        <v>#VALUE!</v>
      </c>
      <c r="M62" s="28"/>
      <c r="N62" s="29"/>
      <c r="O62" s="28"/>
      <c r="P62" s="28"/>
    </row>
    <row r="63" spans="1:17" customFormat="1" x14ac:dyDescent="0.25">
      <c r="A63" s="25"/>
      <c r="B63" s="28" t="s">
        <v>75</v>
      </c>
      <c r="C63" s="62">
        <v>0</v>
      </c>
      <c r="D63" s="44"/>
      <c r="E63" s="44"/>
      <c r="F63" s="62">
        <v>0</v>
      </c>
      <c r="G63" s="44"/>
      <c r="H63" s="44"/>
      <c r="I63" s="62">
        <v>0</v>
      </c>
      <c r="J63" s="22">
        <f t="shared" ref="J63:J73" si="5">F63-I63</f>
        <v>0</v>
      </c>
      <c r="K63" s="26"/>
      <c r="L63" s="26">
        <f t="shared" si="4"/>
        <v>0</v>
      </c>
      <c r="M63" s="28"/>
      <c r="N63" s="29"/>
      <c r="O63" s="28"/>
      <c r="P63" s="28"/>
    </row>
    <row r="64" spans="1:17" ht="23.25" customHeight="1" x14ac:dyDescent="0.25">
      <c r="B64" s="37" t="s">
        <v>76</v>
      </c>
      <c r="C64" s="38">
        <f>SUM(C54,C63)</f>
        <v>37695935</v>
      </c>
      <c r="D64" s="20"/>
      <c r="E64" s="20"/>
      <c r="F64" s="39">
        <f>SUM(F54,F63)</f>
        <v>7033904.8199999994</v>
      </c>
      <c r="G64" s="20"/>
      <c r="H64" s="20"/>
      <c r="I64" s="38">
        <f>SUM(I54,I63)</f>
        <v>9644835</v>
      </c>
      <c r="J64" s="22">
        <f t="shared" si="5"/>
        <v>-2610930.1800000006</v>
      </c>
      <c r="K64" s="22"/>
      <c r="L64" s="22">
        <f t="shared" si="4"/>
        <v>7033904.8199999994</v>
      </c>
      <c r="N64" s="24"/>
    </row>
    <row r="65" spans="1:20" ht="15.75" x14ac:dyDescent="0.25">
      <c r="C65" s="13"/>
      <c r="D65" s="13"/>
      <c r="E65" s="13"/>
      <c r="F65" s="22"/>
      <c r="G65" s="13"/>
      <c r="H65" s="13"/>
      <c r="I65" s="13"/>
      <c r="J65" s="22">
        <f t="shared" si="5"/>
        <v>0</v>
      </c>
      <c r="K65" s="22"/>
      <c r="N65" s="24"/>
      <c r="O65" s="40"/>
    </row>
    <row r="66" spans="1:20" ht="15.75" x14ac:dyDescent="0.25">
      <c r="B66" s="37" t="s">
        <v>77</v>
      </c>
      <c r="C66" s="13"/>
      <c r="D66" s="13"/>
      <c r="E66" s="13"/>
      <c r="F66" s="22"/>
      <c r="G66" s="13"/>
      <c r="H66" s="13"/>
      <c r="I66" s="13"/>
      <c r="J66" s="22">
        <f t="shared" si="5"/>
        <v>0</v>
      </c>
      <c r="K66" s="44"/>
      <c r="N66" s="24"/>
      <c r="O66" s="40"/>
      <c r="P66" s="2" t="s">
        <v>78</v>
      </c>
      <c r="Q66" s="63">
        <v>4418</v>
      </c>
    </row>
    <row r="67" spans="1:20" customFormat="1" ht="15.75" x14ac:dyDescent="0.25">
      <c r="A67" s="25" t="s">
        <v>79</v>
      </c>
      <c r="B67" s="2" t="s">
        <v>80</v>
      </c>
      <c r="C67" s="55"/>
      <c r="D67" s="55"/>
      <c r="E67" s="55"/>
      <c r="F67" s="26">
        <f>'[1]ECANP-Cambio Patrimonio'!E20</f>
        <v>51695326</v>
      </c>
      <c r="G67" s="55"/>
      <c r="H67" s="55"/>
      <c r="I67" s="55">
        <v>51695326</v>
      </c>
      <c r="J67" s="22">
        <f t="shared" si="5"/>
        <v>0</v>
      </c>
      <c r="K67" s="26"/>
      <c r="L67" s="26">
        <f t="shared" ref="L67:L70" si="6">+F67+H67</f>
        <v>51695326</v>
      </c>
      <c r="M67" s="28"/>
      <c r="N67" s="29"/>
      <c r="O67" s="28"/>
      <c r="P67" s="28"/>
    </row>
    <row r="68" spans="1:20" ht="15.75" x14ac:dyDescent="0.25">
      <c r="A68" s="9" t="s">
        <v>81</v>
      </c>
      <c r="B68" s="3" t="s">
        <v>82</v>
      </c>
      <c r="C68" s="13">
        <f>'[3] ERF-Rendimiento Financiero'!D27</f>
        <v>0</v>
      </c>
      <c r="D68" s="13"/>
      <c r="E68" s="13"/>
      <c r="F68" s="22">
        <f>'[2]ECANP-Cambio Patrimonio'!G13+'[2]ECANP-Cambio Patrimonio'!G15+'[2]ECANP-Cambio Patrimonio'!G16+'[2]ECANP-Cambio Patrimonio'!G17+'[2]ECANP-Cambio Patrimonio'!G18</f>
        <v>29227803.850000001</v>
      </c>
      <c r="G68" s="23"/>
      <c r="H68" s="13"/>
      <c r="I68" s="13">
        <v>38126099</v>
      </c>
      <c r="J68" s="22">
        <f t="shared" si="5"/>
        <v>-8898295.1499999985</v>
      </c>
      <c r="K68" s="22"/>
      <c r="L68" s="22">
        <f t="shared" si="6"/>
        <v>29227803.850000001</v>
      </c>
      <c r="N68" s="24"/>
    </row>
    <row r="69" spans="1:20" ht="15.75" x14ac:dyDescent="0.25">
      <c r="A69" s="9" t="s">
        <v>83</v>
      </c>
      <c r="B69" s="2" t="s">
        <v>84</v>
      </c>
      <c r="C69" s="30">
        <f>'[1]ECANP-Cambio Patrimonio'!I13+'[1]ECANP-Cambio Patrimonio'!I18</f>
        <v>0</v>
      </c>
      <c r="D69" s="13"/>
      <c r="E69" s="13"/>
      <c r="F69" s="31">
        <f>'[2]ECANP-Cambio Patrimonio'!G19</f>
        <v>-258799.44999999925</v>
      </c>
      <c r="G69" s="23"/>
      <c r="H69" s="13"/>
      <c r="I69" s="13">
        <v>-430164</v>
      </c>
      <c r="J69" s="22">
        <f t="shared" si="5"/>
        <v>171364.55000000075</v>
      </c>
      <c r="K69" s="22"/>
      <c r="L69" s="22">
        <f t="shared" si="6"/>
        <v>-258799.44999999925</v>
      </c>
      <c r="N69" s="24"/>
    </row>
    <row r="70" spans="1:20" ht="15.75" x14ac:dyDescent="0.25">
      <c r="B70" s="37" t="s">
        <v>85</v>
      </c>
      <c r="C70" s="38">
        <f>SUM(C66:C69)</f>
        <v>0</v>
      </c>
      <c r="D70" s="20"/>
      <c r="E70" s="20"/>
      <c r="F70" s="39">
        <f>SUBTOTAL(9,F67:F69)</f>
        <v>80664330.399999991</v>
      </c>
      <c r="G70" s="20"/>
      <c r="H70" s="20"/>
      <c r="I70" s="38">
        <f>SUM(I66:I69)</f>
        <v>89391261</v>
      </c>
      <c r="J70" s="22">
        <f t="shared" si="5"/>
        <v>-8726930.6000000089</v>
      </c>
      <c r="K70" s="22"/>
      <c r="L70" s="22">
        <f t="shared" si="6"/>
        <v>80664330.399999991</v>
      </c>
      <c r="M70" s="40"/>
      <c r="N70" s="24"/>
    </row>
    <row r="71" spans="1:20" ht="15.75" x14ac:dyDescent="0.25">
      <c r="C71" s="19"/>
      <c r="D71" s="19"/>
      <c r="E71" s="19"/>
      <c r="F71" s="21"/>
      <c r="G71" s="19"/>
      <c r="H71" s="19"/>
      <c r="I71" s="19"/>
      <c r="J71" s="22">
        <f t="shared" si="5"/>
        <v>0</v>
      </c>
      <c r="K71" s="22"/>
      <c r="O71" s="22"/>
    </row>
    <row r="72" spans="1:20" ht="27" thickBot="1" x14ac:dyDescent="0.3">
      <c r="B72" s="37" t="s">
        <v>86</v>
      </c>
      <c r="C72" s="34">
        <f>+C64+C70</f>
        <v>37695935</v>
      </c>
      <c r="D72" s="20"/>
      <c r="E72" s="20"/>
      <c r="F72" s="51">
        <f>+F64+F70</f>
        <v>87698235.219999984</v>
      </c>
      <c r="G72" s="20"/>
      <c r="H72" s="20"/>
      <c r="I72" s="34">
        <f>+I64+I70</f>
        <v>99036096</v>
      </c>
      <c r="J72" s="22">
        <f t="shared" si="5"/>
        <v>-11337860.780000016</v>
      </c>
      <c r="K72" s="22"/>
      <c r="N72" s="22">
        <f>F41-F72</f>
        <v>0</v>
      </c>
      <c r="S72" s="64"/>
      <c r="T72" s="63"/>
    </row>
    <row r="73" spans="1:20" ht="24" thickTop="1" x14ac:dyDescent="0.25">
      <c r="B73" s="37"/>
      <c r="C73" s="65"/>
      <c r="D73" s="65"/>
      <c r="E73" s="65"/>
      <c r="F73" s="41"/>
      <c r="G73" s="19"/>
      <c r="H73" s="20"/>
      <c r="I73" s="20"/>
      <c r="J73" s="22">
        <f t="shared" si="5"/>
        <v>0</v>
      </c>
      <c r="K73" s="66"/>
      <c r="N73" s="22"/>
      <c r="O73" s="40"/>
    </row>
    <row r="74" spans="1:20" ht="15.75" x14ac:dyDescent="0.25">
      <c r="C74" s="12"/>
      <c r="D74" s="12"/>
      <c r="E74" s="12"/>
      <c r="F74" s="41"/>
      <c r="G74" s="19"/>
      <c r="H74" s="20"/>
      <c r="I74" s="20"/>
      <c r="K74" s="22"/>
    </row>
    <row r="75" spans="1:20" ht="15.75" x14ac:dyDescent="0.25">
      <c r="C75" s="12"/>
      <c r="D75" s="12"/>
      <c r="E75" s="12"/>
      <c r="G75" s="12"/>
      <c r="H75" s="13"/>
      <c r="I75" s="13"/>
      <c r="K75" s="22"/>
      <c r="L75" s="22"/>
    </row>
    <row r="76" spans="1:20" ht="15.75" customHeight="1" x14ac:dyDescent="0.25">
      <c r="B76" s="67" t="s">
        <v>87</v>
      </c>
      <c r="C76" s="68"/>
      <c r="D76" s="68"/>
      <c r="E76" s="68"/>
      <c r="F76" s="67"/>
      <c r="G76" s="69"/>
      <c r="H76" s="69"/>
      <c r="I76" s="69"/>
    </row>
    <row r="77" spans="1:20" ht="15.75" customHeight="1" x14ac:dyDescent="0.25">
      <c r="B77" s="70" t="s">
        <v>88</v>
      </c>
      <c r="C77" s="70"/>
      <c r="D77" s="70"/>
      <c r="E77" s="70"/>
      <c r="F77" s="70"/>
      <c r="G77" s="71"/>
      <c r="H77" s="71"/>
      <c r="I77" s="71"/>
      <c r="J77" s="71"/>
    </row>
    <row r="78" spans="1:20" ht="15.75" hidden="1" x14ac:dyDescent="0.25">
      <c r="B78" s="72" t="s">
        <v>89</v>
      </c>
      <c r="C78" s="72"/>
      <c r="D78" s="72"/>
      <c r="E78" s="72"/>
      <c r="F78" s="72"/>
      <c r="G78" s="12"/>
      <c r="H78" s="69"/>
      <c r="I78" s="69"/>
    </row>
    <row r="79" spans="1:20" ht="18.75" hidden="1" x14ac:dyDescent="0.25">
      <c r="B79" s="73"/>
      <c r="C79" s="73"/>
      <c r="D79" s="73"/>
      <c r="E79" s="73"/>
      <c r="F79" s="73"/>
      <c r="G79" s="12"/>
      <c r="H79" s="13"/>
      <c r="I79" s="13"/>
    </row>
    <row r="80" spans="1:20" ht="15.75" hidden="1" customHeight="1" x14ac:dyDescent="0.25">
      <c r="B80" s="74"/>
      <c r="C80" s="74"/>
      <c r="D80" s="74"/>
      <c r="E80" s="74"/>
      <c r="F80" s="74"/>
      <c r="G80" s="75"/>
      <c r="H80" s="75"/>
      <c r="I80" s="75"/>
      <c r="J80" s="76"/>
    </row>
    <row r="81" spans="2:9" ht="15.75" hidden="1" x14ac:dyDescent="0.25">
      <c r="B81" s="72"/>
      <c r="C81" s="72"/>
      <c r="D81" s="72"/>
      <c r="E81" s="72"/>
      <c r="F81" s="72"/>
      <c r="G81" s="12"/>
      <c r="H81" s="12"/>
      <c r="I81" s="12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 ERF-Rendimiento Financiero</vt:lpstr>
      <vt:lpstr>ECANP-Cambio Patrimonio</vt:lpstr>
      <vt:lpstr>EFE-Flujo de Efectivo</vt:lpstr>
      <vt:lpstr>ESF - Situación Financiera</vt:lpstr>
      <vt:lpstr>' ERF-Rendimiento Financiero'!Área_de_impresión</vt:lpstr>
      <vt:lpstr>'ECANP-Cambio Patrimonio'!Área_de_impresión</vt:lpstr>
      <vt:lpstr>'EFE-Flujo de Efectivo'!Área_de_impresión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 JAVIER</dc:creator>
  <cp:lastModifiedBy>REYNALDO  JAVIER</cp:lastModifiedBy>
  <dcterms:created xsi:type="dcterms:W3CDTF">2023-10-11T13:24:07Z</dcterms:created>
  <dcterms:modified xsi:type="dcterms:W3CDTF">2023-10-11T18:57:54Z</dcterms:modified>
</cp:coreProperties>
</file>